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DISTRICT (K12)\Business Services\FINANCE\Budget\Budget 26-27\19.WEBSITE ACCESSIBILITY REQUIRED TEMPLATES\"/>
    </mc:Choice>
  </mc:AlternateContent>
  <xr:revisionPtr revIDLastSave="0" documentId="13_ncr:1_{F80639DD-9A6A-47EC-8F7B-7C72AF7FEDB0}" xr6:coauthVersionLast="36" xr6:coauthVersionMax="47" xr10:uidLastSave="{00000000-0000-0000-0000-000000000000}"/>
  <bookViews>
    <workbookView xWindow="1170" yWindow="1170" windowWidth="21600" windowHeight="11070" tabRatio="907" firstSheet="1" activeTab="2" xr2:uid="{786398F3-8633-40B2-98A1-9B7974E322A5}"/>
  </bookViews>
  <sheets>
    <sheet name="Cover" sheetId="17" r:id="rId1"/>
    <sheet name="TOC" sheetId="15" r:id="rId2"/>
    <sheet name="GF Summary 10" sheetId="1" r:id="rId3"/>
    <sheet name="InsRsv 18" sheetId="13" r:id="rId4"/>
    <sheet name="Preschool 19" sheetId="57" r:id="rId5"/>
    <sheet name="Total Program Reserve Fund 07" sheetId="72" r:id="rId6"/>
    <sheet name="Food Svc 21" sheetId="4" r:id="rId7"/>
    <sheet name="DPGF 22" sheetId="5" r:id="rId8"/>
    <sheet name="Activity 23" sheetId="6" r:id="rId9"/>
    <sheet name="Mineral Lease 26" sheetId="7" r:id="rId10"/>
    <sheet name="Athletic Activity 29" sheetId="8" r:id="rId11"/>
    <sheet name="BondRedempt 31" sheetId="10" r:id="rId12"/>
    <sheet name="Building 41" sheetId="69" r:id="rId13"/>
    <sheet name="CapRes 43" sheetId="11" r:id="rId14"/>
    <sheet name="Land Reserve 44" sheetId="70" r:id="rId15"/>
    <sheet name="Trust Funds 72" sheetId="12" r:id="rId16"/>
    <sheet name="2026.27 UNIFORM BUDGET SUMMARY" sheetId="74" r:id="rId17"/>
    <sheet name="BudgetAssump" sheetId="16" r:id="rId18"/>
    <sheet name="BFB Usage Calc WKST" sheetId="24" r:id="rId19"/>
  </sheets>
  <definedNames>
    <definedName name="AllowFundHlook" localSheetId="16">#REF!</definedName>
    <definedName name="AllowFundHlook">#REF!</definedName>
    <definedName name="AllowProg" localSheetId="16">#REF!</definedName>
    <definedName name="AllowProg">#REF!</definedName>
    <definedName name="CertBen" localSheetId="16">#REF!</definedName>
    <definedName name="CertBen">#REF!</definedName>
    <definedName name="CertFund" localSheetId="16">#REF!</definedName>
    <definedName name="CertFund">#REF!</definedName>
    <definedName name="CertGrant" localSheetId="16">#REF!</definedName>
    <definedName name="CertGrant">#REF!</definedName>
    <definedName name="CertObj" localSheetId="16">#REF!</definedName>
    <definedName name="CertObj">#REF!</definedName>
    <definedName name="CertProg" localSheetId="16">#REF!</definedName>
    <definedName name="CertProg">#REF!</definedName>
    <definedName name="CertSalary" localSheetId="16">#REF!</definedName>
    <definedName name="CertSalary">#REF!</definedName>
    <definedName name="ERRORRPT" localSheetId="16">#REF!</definedName>
    <definedName name="ERRORRPT">#REF!</definedName>
    <definedName name="MINRESERVE" localSheetId="16">#REF!</definedName>
    <definedName name="MINRESERVE">#REF!</definedName>
    <definedName name="PAGE01" localSheetId="16">#REF!</definedName>
    <definedName name="PAGE01">#REF!</definedName>
    <definedName name="PAGE02" localSheetId="16">#REF!</definedName>
    <definedName name="PAGE02">#REF!</definedName>
    <definedName name="PAGE03" localSheetId="16">#REF!</definedName>
    <definedName name="PAGE03">#REF!</definedName>
    <definedName name="PAGE04" localSheetId="16">#REF!</definedName>
    <definedName name="PAGE04">#REF!</definedName>
    <definedName name="PAGE05" localSheetId="16">#REF!</definedName>
    <definedName name="PAGE05">#REF!</definedName>
    <definedName name="PAGE06" localSheetId="16">#REF!</definedName>
    <definedName name="PAGE06">#REF!</definedName>
    <definedName name="PAGE07" localSheetId="16">#REF!</definedName>
    <definedName name="PAGE07">#REF!</definedName>
    <definedName name="PAGE08" localSheetId="16">#REF!</definedName>
    <definedName name="PAGE08">#REF!</definedName>
    <definedName name="PAGE09" localSheetId="16">#REF!</definedName>
    <definedName name="PAGE09">#REF!</definedName>
    <definedName name="PAGE10" localSheetId="16">#REF!</definedName>
    <definedName name="PAGE10">#REF!</definedName>
    <definedName name="PAGE11" localSheetId="16">#REF!</definedName>
    <definedName name="PAGE11">#REF!</definedName>
    <definedName name="PAGE12" localSheetId="16">#REF!</definedName>
    <definedName name="PAGE12">#REF!</definedName>
    <definedName name="PAGE13" localSheetId="16">#REF!</definedName>
    <definedName name="PAGE13">#REF!</definedName>
    <definedName name="PAGE14" localSheetId="16">#REF!</definedName>
    <definedName name="PAGE14">#REF!</definedName>
    <definedName name="PAGE15" localSheetId="16">#REF!</definedName>
    <definedName name="PAGE15">#REF!</definedName>
    <definedName name="PAGE16" localSheetId="16">#REF!</definedName>
    <definedName name="PAGE16">#REF!</definedName>
    <definedName name="page17" localSheetId="16">#REF!</definedName>
    <definedName name="page17">#REF!</definedName>
    <definedName name="PAGE18" localSheetId="16">#REF!</definedName>
    <definedName name="PAGE18">#REF!</definedName>
    <definedName name="PAGE19" localSheetId="16">#REF!</definedName>
    <definedName name="PAGE19">#REF!</definedName>
    <definedName name="PAGE20" localSheetId="16">#REF!</definedName>
    <definedName name="PAGE20">#REF!</definedName>
    <definedName name="PAGE21" localSheetId="16">#REF!</definedName>
    <definedName name="PAGE21">#REF!</definedName>
    <definedName name="PAGE22" localSheetId="16">#REF!</definedName>
    <definedName name="PAGE22">#REF!</definedName>
    <definedName name="PAGE23" localSheetId="16">#REF!</definedName>
    <definedName name="PAGE23">#REF!</definedName>
    <definedName name="_xlnm.Print_Area" localSheetId="16">'2026.27 UNIFORM BUDGET SUMMARY'!$A$1:$AQ$197</definedName>
    <definedName name="_xlnm.Print_Area" localSheetId="8">'Activity 23'!$A$1:$S$40</definedName>
    <definedName name="_xlnm.Print_Area" localSheetId="10">'Athletic Activity 29'!$A$1:$S$39</definedName>
    <definedName name="_xlnm.Print_Area" localSheetId="18">'BFB Usage Calc WKST'!$A$1:$L$87</definedName>
    <definedName name="_xlnm.Print_Area" localSheetId="11">'BondRedempt 31'!$A$1:$S$41</definedName>
    <definedName name="_xlnm.Print_Area" localSheetId="17">BudgetAssump!$A$1:$M$36</definedName>
    <definedName name="_xlnm.Print_Area" localSheetId="12">'Building 41'!$A$1:$S$38</definedName>
    <definedName name="_xlnm.Print_Area" localSheetId="13">'CapRes 43'!$A$1:$S$38</definedName>
    <definedName name="_xlnm.Print_Area" localSheetId="0">Cover!$A$1:$M$51</definedName>
    <definedName name="_xlnm.Print_Area" localSheetId="7">'DPGF 22'!$A$1:$S$61</definedName>
    <definedName name="_xlnm.Print_Area" localSheetId="6">'Food Svc 21'!$A$1:$S$40</definedName>
    <definedName name="_xlnm.Print_Area" localSheetId="2">'GF Summary 10'!$A$1:$S$53</definedName>
    <definedName name="_xlnm.Print_Area" localSheetId="3">'InsRsv 18'!$A$1:$S$38</definedName>
    <definedName name="_xlnm.Print_Area" localSheetId="14">'Land Reserve 44'!$A$1:$S$38</definedName>
    <definedName name="_xlnm.Print_Area" localSheetId="9">'Mineral Lease 26'!$A$1:$S$39</definedName>
    <definedName name="_xlnm.Print_Area" localSheetId="4">'Preschool 19'!$B$1:$R$49</definedName>
    <definedName name="_xlnm.Print_Area" localSheetId="1">TOC!$A$1:$L$26</definedName>
    <definedName name="_xlnm.Print_Area" localSheetId="5">'Total Program Reserve Fund 07'!$A$1:$S$40</definedName>
    <definedName name="_xlnm.Print_Area" localSheetId="15">'Trust Funds 72'!$A$1:$S$38</definedName>
    <definedName name="_xlnm.Print_Titles" localSheetId="16">'2026.27 UNIFORM BUDGET SUMMARY'!$1:$5</definedName>
    <definedName name="printjob1" localSheetId="16">#REF!,#REF!,#REF!,#REF!,#REF!,#REF!,#REF!,#REF!,#REF!,#REF!,#REF!</definedName>
    <definedName name="printjob1">#REF!,#REF!,#REF!,#REF!,#REF!,#REF!,#REF!,#REF!,#REF!,#REF!,#REF!</definedName>
    <definedName name="printjob2" localSheetId="16">#REF!,#REF!,#REF!,#REF!,#REF!,#REF!,#REF!,#REF!,#REF!,#REF!,#REF!</definedName>
    <definedName name="printjob2">#REF!,#REF!,#REF!,#REF!,#REF!,#REF!,#REF!,#REF!,#REF!,#REF!,#REF!</definedName>
    <definedName name="printjob3" localSheetId="16">#REF!,#REF!</definedName>
    <definedName name="printjob3">#REF!,#REF!</definedName>
    <definedName name="printsumm" localSheetId="16">#REF!,#REF!,#REF!,#REF!,#REF!</definedName>
    <definedName name="printsumm">#REF!,#REF!,#REF!,#REF!,#REF!</definedName>
    <definedName name="printtabor" localSheetId="16">#REF!,#REF!,#REF!</definedName>
    <definedName name="printtabor">#REF!,#REF!,#REF!</definedName>
    <definedName name="SPENDLIM" localSheetId="16">#REF!</definedName>
    <definedName name="SPENDLIM">#REF!</definedName>
    <definedName name="SUMM01" localSheetId="16">#REF!</definedName>
    <definedName name="SUMM01">#REF!</definedName>
    <definedName name="SUMM02" localSheetId="16">#REF!</definedName>
    <definedName name="SUMM02">#REF!</definedName>
    <definedName name="SUMM03" localSheetId="16">#REF!</definedName>
    <definedName name="SUMM03">#REF!</definedName>
    <definedName name="SUMM04" localSheetId="16">#REF!</definedName>
    <definedName name="SUMM04">#REF!</definedName>
    <definedName name="SUMM05" localSheetId="16">#REF!</definedName>
    <definedName name="SUMM05">#REF!</definedName>
    <definedName name="TAXLIM" localSheetId="16">#REF!</definedName>
    <definedName name="TAXLIM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24" l="1"/>
  <c r="I75" i="24"/>
  <c r="I83" i="24"/>
  <c r="K78" i="24" l="1"/>
  <c r="AC200" i="74"/>
  <c r="AM199" i="74"/>
  <c r="AC199" i="74"/>
  <c r="U199" i="74"/>
  <c r="S199" i="74"/>
  <c r="I199" i="74"/>
  <c r="AE198" i="74"/>
  <c r="AC198" i="74"/>
  <c r="AA198" i="74"/>
  <c r="Q198" i="74"/>
  <c r="K198" i="74"/>
  <c r="G198" i="74"/>
  <c r="AI197" i="74"/>
  <c r="O197" i="74"/>
  <c r="AO194" i="74"/>
  <c r="AM190" i="74"/>
  <c r="AK190" i="74"/>
  <c r="AI190" i="74"/>
  <c r="AI200" i="74" s="1"/>
  <c r="AG190" i="74"/>
  <c r="AG200" i="74" s="1"/>
  <c r="AE190" i="74"/>
  <c r="AE197" i="74" s="1"/>
  <c r="AC190" i="74"/>
  <c r="AC197" i="74" s="1"/>
  <c r="Y190" i="74"/>
  <c r="Y200" i="74" s="1"/>
  <c r="U190" i="74"/>
  <c r="S190" i="74"/>
  <c r="Q190" i="74"/>
  <c r="Q200" i="74" s="1"/>
  <c r="O190" i="74"/>
  <c r="O200" i="74" s="1"/>
  <c r="M190" i="74"/>
  <c r="M200" i="74" s="1"/>
  <c r="I190" i="74"/>
  <c r="I197" i="74" s="1"/>
  <c r="G190" i="74"/>
  <c r="G199" i="74" s="1"/>
  <c r="AO189" i="74"/>
  <c r="E189" i="74"/>
  <c r="AI188" i="74"/>
  <c r="Y188" i="74"/>
  <c r="Q188" i="74"/>
  <c r="K188" i="74"/>
  <c r="K190" i="74" s="1"/>
  <c r="G188" i="74"/>
  <c r="E188" i="74"/>
  <c r="AO188" i="74" s="1"/>
  <c r="AO187" i="74"/>
  <c r="W187" i="74"/>
  <c r="W190" i="74" s="1"/>
  <c r="AO186" i="74"/>
  <c r="E185" i="74"/>
  <c r="AO185" i="74" s="1"/>
  <c r="AO184" i="74"/>
  <c r="E184" i="74"/>
  <c r="E190" i="74" s="1"/>
  <c r="AO183" i="74"/>
  <c r="AA183" i="74"/>
  <c r="AA190" i="74" s="1"/>
  <c r="AO182" i="74"/>
  <c r="AO190" i="74" s="1"/>
  <c r="AM177" i="74"/>
  <c r="AK177" i="74"/>
  <c r="AI177" i="74"/>
  <c r="AG177" i="74"/>
  <c r="AE177" i="74"/>
  <c r="AC177" i="74"/>
  <c r="AA177" i="74"/>
  <c r="Y177" i="74"/>
  <c r="W177" i="74"/>
  <c r="U177" i="74"/>
  <c r="S177" i="74"/>
  <c r="Q177" i="74"/>
  <c r="O177" i="74"/>
  <c r="M177" i="74"/>
  <c r="I177" i="74"/>
  <c r="G177" i="74"/>
  <c r="E177" i="74"/>
  <c r="K176" i="74"/>
  <c r="AO176" i="74" s="1"/>
  <c r="AO177" i="74" s="1"/>
  <c r="AO175" i="74"/>
  <c r="AO174" i="74"/>
  <c r="AO173" i="74"/>
  <c r="AM168" i="74"/>
  <c r="AK168" i="74"/>
  <c r="AI168" i="74"/>
  <c r="AG168" i="74"/>
  <c r="AE168" i="74"/>
  <c r="AC168" i="74"/>
  <c r="AA168" i="74"/>
  <c r="Y168" i="74"/>
  <c r="W168" i="74"/>
  <c r="U168" i="74"/>
  <c r="S168" i="74"/>
  <c r="Q168" i="74"/>
  <c r="O168" i="74"/>
  <c r="M168" i="74"/>
  <c r="K168" i="74"/>
  <c r="I168" i="74"/>
  <c r="G168" i="74"/>
  <c r="E168" i="74"/>
  <c r="AO167" i="74"/>
  <c r="AO166" i="74"/>
  <c r="AG166" i="74"/>
  <c r="AO165" i="74"/>
  <c r="AO164" i="74"/>
  <c r="AO163" i="74"/>
  <c r="AO168" i="74" s="1"/>
  <c r="AO162" i="74"/>
  <c r="AM157" i="74"/>
  <c r="AK157" i="74"/>
  <c r="AI157" i="74"/>
  <c r="AG157" i="74"/>
  <c r="AE157" i="74"/>
  <c r="AC157" i="74"/>
  <c r="AA157" i="74"/>
  <c r="Y157" i="74"/>
  <c r="W157" i="74"/>
  <c r="U157" i="74"/>
  <c r="S157" i="74"/>
  <c r="Q157" i="74"/>
  <c r="O157" i="74"/>
  <c r="M157" i="74"/>
  <c r="K157" i="74"/>
  <c r="I157" i="74"/>
  <c r="G157" i="74"/>
  <c r="E157" i="74"/>
  <c r="AO156" i="74"/>
  <c r="AO155" i="74"/>
  <c r="AO154" i="74"/>
  <c r="AO153" i="74"/>
  <c r="AO152" i="74"/>
  <c r="AO151" i="74"/>
  <c r="AO157" i="74" s="1"/>
  <c r="AM148" i="74"/>
  <c r="AK148" i="74"/>
  <c r="AK159" i="74" s="1"/>
  <c r="AK179" i="74" s="1"/>
  <c r="AK192" i="74" s="1"/>
  <c r="AI148" i="74"/>
  <c r="AI159" i="74" s="1"/>
  <c r="AI179" i="74" s="1"/>
  <c r="AI192" i="74" s="1"/>
  <c r="AG148" i="74"/>
  <c r="AG159" i="74" s="1"/>
  <c r="AG179" i="74" s="1"/>
  <c r="AG192" i="74" s="1"/>
  <c r="AE148" i="74"/>
  <c r="AE159" i="74" s="1"/>
  <c r="AE179" i="74" s="1"/>
  <c r="AE192" i="74" s="1"/>
  <c r="AC148" i="74"/>
  <c r="AC159" i="74" s="1"/>
  <c r="AC179" i="74" s="1"/>
  <c r="AC192" i="74" s="1"/>
  <c r="AA148" i="74"/>
  <c r="AA159" i="74" s="1"/>
  <c r="AA179" i="74" s="1"/>
  <c r="AA192" i="74" s="1"/>
  <c r="Y148" i="74"/>
  <c r="W148" i="74"/>
  <c r="U148" i="74"/>
  <c r="U159" i="74" s="1"/>
  <c r="U179" i="74" s="1"/>
  <c r="U192" i="74" s="1"/>
  <c r="S148" i="74"/>
  <c r="S159" i="74" s="1"/>
  <c r="S179" i="74" s="1"/>
  <c r="S192" i="74" s="1"/>
  <c r="Q148" i="74"/>
  <c r="Q159" i="74" s="1"/>
  <c r="Q179" i="74" s="1"/>
  <c r="Q192" i="74" s="1"/>
  <c r="O148" i="74"/>
  <c r="O159" i="74" s="1"/>
  <c r="O179" i="74" s="1"/>
  <c r="O192" i="74" s="1"/>
  <c r="M148" i="74"/>
  <c r="M159" i="74" s="1"/>
  <c r="M179" i="74" s="1"/>
  <c r="M192" i="74" s="1"/>
  <c r="K148" i="74"/>
  <c r="K159" i="74" s="1"/>
  <c r="I148" i="74"/>
  <c r="G148" i="74"/>
  <c r="E148" i="74"/>
  <c r="E159" i="74" s="1"/>
  <c r="E179" i="74" s="1"/>
  <c r="E192" i="74" s="1"/>
  <c r="AO147" i="74"/>
  <c r="AO146" i="74"/>
  <c r="AO145" i="74"/>
  <c r="AO144" i="74"/>
  <c r="AO143" i="74"/>
  <c r="AO142" i="74"/>
  <c r="AO148" i="74" s="1"/>
  <c r="AM139" i="74"/>
  <c r="AM159" i="74" s="1"/>
  <c r="AM179" i="74" s="1"/>
  <c r="AM192" i="74" s="1"/>
  <c r="AK139" i="74"/>
  <c r="AI139" i="74"/>
  <c r="AG139" i="74"/>
  <c r="AE139" i="74"/>
  <c r="AC139" i="74"/>
  <c r="AA139" i="74"/>
  <c r="Y139" i="74"/>
  <c r="W139" i="74"/>
  <c r="W159" i="74" s="1"/>
  <c r="W179" i="74" s="1"/>
  <c r="U139" i="74"/>
  <c r="S139" i="74"/>
  <c r="Q139" i="74"/>
  <c r="O139" i="74"/>
  <c r="M139" i="74"/>
  <c r="K139" i="74"/>
  <c r="I139" i="74"/>
  <c r="G139" i="74"/>
  <c r="G159" i="74" s="1"/>
  <c r="G179" i="74" s="1"/>
  <c r="G192" i="74" s="1"/>
  <c r="E139" i="74"/>
  <c r="AO138" i="74"/>
  <c r="AO137" i="74"/>
  <c r="AO136" i="74"/>
  <c r="AO135" i="74"/>
  <c r="AO134" i="74"/>
  <c r="AO133" i="74"/>
  <c r="AO139" i="74" s="1"/>
  <c r="AM130" i="74"/>
  <c r="AK130" i="74"/>
  <c r="AI130" i="74"/>
  <c r="AG130" i="74"/>
  <c r="AE130" i="74"/>
  <c r="AC130" i="74"/>
  <c r="AA130" i="74"/>
  <c r="Y130" i="74"/>
  <c r="W130" i="74"/>
  <c r="U130" i="74"/>
  <c r="S130" i="74"/>
  <c r="Q130" i="74"/>
  <c r="O130" i="74"/>
  <c r="M130" i="74"/>
  <c r="K130" i="74"/>
  <c r="I130" i="74"/>
  <c r="G130" i="74"/>
  <c r="E130" i="74"/>
  <c r="AO129" i="74"/>
  <c r="AO128" i="74"/>
  <c r="AO127" i="74"/>
  <c r="AO126" i="74"/>
  <c r="AO125" i="74"/>
  <c r="AO124" i="74"/>
  <c r="AO130" i="74" s="1"/>
  <c r="AM121" i="74"/>
  <c r="AK121" i="74"/>
  <c r="AI121" i="74"/>
  <c r="AG121" i="74"/>
  <c r="AE121" i="74"/>
  <c r="AC121" i="74"/>
  <c r="AA121" i="74"/>
  <c r="Y121" i="74"/>
  <c r="W121" i="74"/>
  <c r="U121" i="74"/>
  <c r="S121" i="74"/>
  <c r="Q121" i="74"/>
  <c r="O121" i="74"/>
  <c r="M121" i="74"/>
  <c r="K121" i="74"/>
  <c r="I121" i="74"/>
  <c r="G121" i="74"/>
  <c r="E121" i="74"/>
  <c r="AO120" i="74"/>
  <c r="AO119" i="74"/>
  <c r="AO118" i="74"/>
  <c r="AO117" i="74"/>
  <c r="AO116" i="74"/>
  <c r="AO115" i="74"/>
  <c r="AO121" i="74" s="1"/>
  <c r="AM112" i="74"/>
  <c r="AK112" i="74"/>
  <c r="AI112" i="74"/>
  <c r="AG112" i="74"/>
  <c r="AE112" i="74"/>
  <c r="AC112" i="74"/>
  <c r="AA112" i="74"/>
  <c r="Y112" i="74"/>
  <c r="Y159" i="74" s="1"/>
  <c r="Y179" i="74" s="1"/>
  <c r="Y192" i="74" s="1"/>
  <c r="W112" i="74"/>
  <c r="U112" i="74"/>
  <c r="S112" i="74"/>
  <c r="Q112" i="74"/>
  <c r="O112" i="74"/>
  <c r="M112" i="74"/>
  <c r="K112" i="74"/>
  <c r="I112" i="74"/>
  <c r="I159" i="74" s="1"/>
  <c r="I179" i="74" s="1"/>
  <c r="I192" i="74" s="1"/>
  <c r="G112" i="74"/>
  <c r="E112" i="74"/>
  <c r="AO111" i="74"/>
  <c r="AO110" i="74"/>
  <c r="AO109" i="74"/>
  <c r="AO108" i="74"/>
  <c r="AO107" i="74"/>
  <c r="AO106" i="74"/>
  <c r="AO112" i="74" s="1"/>
  <c r="AM103" i="74"/>
  <c r="AK103" i="74"/>
  <c r="AI103" i="74"/>
  <c r="AG103" i="74"/>
  <c r="AE103" i="74"/>
  <c r="AC103" i="74"/>
  <c r="AA103" i="74"/>
  <c r="Y103" i="74"/>
  <c r="W103" i="74"/>
  <c r="U103" i="74"/>
  <c r="S103" i="74"/>
  <c r="Q103" i="74"/>
  <c r="O103" i="74"/>
  <c r="M103" i="74"/>
  <c r="K103" i="74"/>
  <c r="I103" i="74"/>
  <c r="G103" i="74"/>
  <c r="E103" i="74"/>
  <c r="AO102" i="74"/>
  <c r="AO101" i="74"/>
  <c r="AO100" i="74"/>
  <c r="AO99" i="74"/>
  <c r="AO98" i="74"/>
  <c r="AO97" i="74"/>
  <c r="AO103" i="74" s="1"/>
  <c r="AM94" i="74"/>
  <c r="AK94" i="74"/>
  <c r="AI94" i="74"/>
  <c r="AG94" i="74"/>
  <c r="AE94" i="74"/>
  <c r="AC94" i="74"/>
  <c r="AA94" i="74"/>
  <c r="Y94" i="74"/>
  <c r="W94" i="74"/>
  <c r="U94" i="74"/>
  <c r="S94" i="74"/>
  <c r="Q94" i="74"/>
  <c r="O94" i="74"/>
  <c r="M94" i="74"/>
  <c r="K94" i="74"/>
  <c r="I94" i="74"/>
  <c r="G94" i="74"/>
  <c r="AO93" i="74"/>
  <c r="AO92" i="74"/>
  <c r="AO91" i="74"/>
  <c r="AO90" i="74"/>
  <c r="E90" i="74"/>
  <c r="E94" i="74" s="1"/>
  <c r="AO89" i="74"/>
  <c r="AO94" i="74" s="1"/>
  <c r="AO88" i="74"/>
  <c r="AM85" i="74"/>
  <c r="AK85" i="74"/>
  <c r="AI85" i="74"/>
  <c r="AG85" i="74"/>
  <c r="AE85" i="74"/>
  <c r="AC85" i="74"/>
  <c r="AA85" i="74"/>
  <c r="Y85" i="74"/>
  <c r="W85" i="74"/>
  <c r="U85" i="74"/>
  <c r="S85" i="74"/>
  <c r="Q85" i="74"/>
  <c r="O85" i="74"/>
  <c r="M85" i="74"/>
  <c r="K85" i="74"/>
  <c r="I85" i="74"/>
  <c r="G85" i="74"/>
  <c r="E85" i="74"/>
  <c r="AO84" i="74"/>
  <c r="AO83" i="74"/>
  <c r="AO82" i="74"/>
  <c r="AO81" i="74"/>
  <c r="AO80" i="74"/>
  <c r="AO79" i="74"/>
  <c r="AO85" i="74" s="1"/>
  <c r="AM76" i="74"/>
  <c r="AK76" i="74"/>
  <c r="AI76" i="74"/>
  <c r="AG76" i="74"/>
  <c r="AE76" i="74"/>
  <c r="AC76" i="74"/>
  <c r="AA76" i="74"/>
  <c r="Y76" i="74"/>
  <c r="W76" i="74"/>
  <c r="U76" i="74"/>
  <c r="S76" i="74"/>
  <c r="Q76" i="74"/>
  <c r="O76" i="74"/>
  <c r="M76" i="74"/>
  <c r="K76" i="74"/>
  <c r="I76" i="74"/>
  <c r="G76" i="74"/>
  <c r="E76" i="74"/>
  <c r="AO75" i="74"/>
  <c r="AO74" i="74"/>
  <c r="AO73" i="74"/>
  <c r="AO72" i="74"/>
  <c r="AO71" i="74"/>
  <c r="AO70" i="74"/>
  <c r="AO76" i="74" s="1"/>
  <c r="AM67" i="74"/>
  <c r="AK67" i="74"/>
  <c r="AI67" i="74"/>
  <c r="AG67" i="74"/>
  <c r="AE67" i="74"/>
  <c r="AC67" i="74"/>
  <c r="AA67" i="74"/>
  <c r="Y67" i="74"/>
  <c r="W67" i="74"/>
  <c r="U67" i="74"/>
  <c r="S67" i="74"/>
  <c r="Q67" i="74"/>
  <c r="O67" i="74"/>
  <c r="M67" i="74"/>
  <c r="K67" i="74"/>
  <c r="I67" i="74"/>
  <c r="G67" i="74"/>
  <c r="E67" i="74"/>
  <c r="AO66" i="74"/>
  <c r="AO65" i="74"/>
  <c r="AO64" i="74"/>
  <c r="AO63" i="74"/>
  <c r="AO62" i="74"/>
  <c r="AO61" i="74"/>
  <c r="AO67" i="74" s="1"/>
  <c r="AM58" i="74"/>
  <c r="AK58" i="74"/>
  <c r="AI58" i="74"/>
  <c r="AG58" i="74"/>
  <c r="AE58" i="74"/>
  <c r="AC58" i="74"/>
  <c r="AA58" i="74"/>
  <c r="Y58" i="74"/>
  <c r="W58" i="74"/>
  <c r="U58" i="74"/>
  <c r="S58" i="74"/>
  <c r="Q58" i="74"/>
  <c r="O58" i="74"/>
  <c r="M58" i="74"/>
  <c r="K58" i="74"/>
  <c r="I58" i="74"/>
  <c r="G58" i="74"/>
  <c r="E58" i="74"/>
  <c r="AO57" i="74"/>
  <c r="AO56" i="74"/>
  <c r="AO55" i="74"/>
  <c r="AO54" i="74"/>
  <c r="AO53" i="74"/>
  <c r="AO52" i="74"/>
  <c r="AO58" i="74" s="1"/>
  <c r="AZ51" i="74"/>
  <c r="AM49" i="74"/>
  <c r="AK49" i="74"/>
  <c r="AI49" i="74"/>
  <c r="AG49" i="74"/>
  <c r="AE49" i="74"/>
  <c r="AC49" i="74"/>
  <c r="AA49" i="74"/>
  <c r="Y49" i="74"/>
  <c r="W49" i="74"/>
  <c r="U49" i="74"/>
  <c r="S49" i="74"/>
  <c r="Q49" i="74"/>
  <c r="O49" i="74"/>
  <c r="M49" i="74"/>
  <c r="K49" i="74"/>
  <c r="I49" i="74"/>
  <c r="G49" i="74"/>
  <c r="E49" i="74"/>
  <c r="AO48" i="74"/>
  <c r="AO47" i="74"/>
  <c r="AO46" i="74"/>
  <c r="AS45" i="74"/>
  <c r="AU42" i="74" s="1"/>
  <c r="AW42" i="74" s="1"/>
  <c r="AO45" i="74"/>
  <c r="AZ44" i="74"/>
  <c r="AO44" i="74"/>
  <c r="AZ43" i="74"/>
  <c r="AU43" i="74"/>
  <c r="AW43" i="74" s="1"/>
  <c r="AO43" i="74"/>
  <c r="AO49" i="74" s="1"/>
  <c r="AZ42" i="74"/>
  <c r="AZ41" i="74"/>
  <c r="AU41" i="74"/>
  <c r="AW41" i="74" s="1"/>
  <c r="AZ40" i="74"/>
  <c r="AU40" i="74"/>
  <c r="AW40" i="74" s="1"/>
  <c r="AZ39" i="74"/>
  <c r="AU39" i="74"/>
  <c r="AW39" i="74" s="1"/>
  <c r="AM39" i="74"/>
  <c r="AK39" i="74"/>
  <c r="AI39" i="74"/>
  <c r="AG39" i="74"/>
  <c r="AE39" i="74"/>
  <c r="AC39" i="74"/>
  <c r="AA39" i="74"/>
  <c r="Y39" i="74"/>
  <c r="W39" i="74"/>
  <c r="U39" i="74"/>
  <c r="S39" i="74"/>
  <c r="Q39" i="74"/>
  <c r="O39" i="74"/>
  <c r="M39" i="74"/>
  <c r="K39" i="74"/>
  <c r="I39" i="74"/>
  <c r="G39" i="74"/>
  <c r="E39" i="74"/>
  <c r="AZ38" i="74"/>
  <c r="AU38" i="74"/>
  <c r="AW38" i="74" s="1"/>
  <c r="AO38" i="74"/>
  <c r="AZ37" i="74"/>
  <c r="AU37" i="74"/>
  <c r="AW37" i="74" s="1"/>
  <c r="AO37" i="74"/>
  <c r="AZ36" i="74"/>
  <c r="AU36" i="74"/>
  <c r="AW36" i="74" s="1"/>
  <c r="AO36" i="74"/>
  <c r="AZ35" i="74"/>
  <c r="AY35" i="74"/>
  <c r="AW35" i="74"/>
  <c r="BA35" i="74" s="1"/>
  <c r="AU35" i="74"/>
  <c r="AO35" i="74"/>
  <c r="AZ34" i="74"/>
  <c r="AU34" i="74"/>
  <c r="AW34" i="74" s="1"/>
  <c r="AO34" i="74"/>
  <c r="AZ33" i="74"/>
  <c r="AZ45" i="74" s="1"/>
  <c r="AW33" i="74"/>
  <c r="AU33" i="74"/>
  <c r="AO33" i="74"/>
  <c r="AO39" i="74" s="1"/>
  <c r="AO27" i="74"/>
  <c r="AO25" i="74"/>
  <c r="AO23" i="74"/>
  <c r="AK21" i="74"/>
  <c r="AK29" i="74" s="1"/>
  <c r="AK196" i="74" s="1"/>
  <c r="AK199" i="74" s="1"/>
  <c r="AC21" i="74"/>
  <c r="AC29" i="74" s="1"/>
  <c r="AC196" i="74" s="1"/>
  <c r="U21" i="74"/>
  <c r="U29" i="74" s="1"/>
  <c r="E21" i="74"/>
  <c r="E29" i="74" s="1"/>
  <c r="E196" i="74" s="1"/>
  <c r="AM18" i="74"/>
  <c r="AM21" i="74" s="1"/>
  <c r="AM29" i="74" s="1"/>
  <c r="AM196" i="74" s="1"/>
  <c r="AK18" i="74"/>
  <c r="AI18" i="74"/>
  <c r="AG18" i="74"/>
  <c r="AE18" i="74"/>
  <c r="AE21" i="74" s="1"/>
  <c r="AE29" i="74" s="1"/>
  <c r="AE196" i="74" s="1"/>
  <c r="AC18" i="74"/>
  <c r="AA18" i="74"/>
  <c r="Y18" i="74"/>
  <c r="W18" i="74"/>
  <c r="U18" i="74"/>
  <c r="S18" i="74"/>
  <c r="S21" i="74" s="1"/>
  <c r="S29" i="74" s="1"/>
  <c r="Q18" i="74"/>
  <c r="Q21" i="74" s="1"/>
  <c r="Q29" i="74" s="1"/>
  <c r="O18" i="74"/>
  <c r="O21" i="74" s="1"/>
  <c r="O29" i="74" s="1"/>
  <c r="O196" i="74" s="1"/>
  <c r="M18" i="74"/>
  <c r="K18" i="74"/>
  <c r="K21" i="74" s="1"/>
  <c r="K29" i="74" s="1"/>
  <c r="I18" i="74"/>
  <c r="I21" i="74" s="1"/>
  <c r="I29" i="74" s="1"/>
  <c r="I196" i="74" s="1"/>
  <c r="G18" i="74"/>
  <c r="G21" i="74" s="1"/>
  <c r="G29" i="74" s="1"/>
  <c r="G196" i="74" s="1"/>
  <c r="E18" i="74"/>
  <c r="AO16" i="74"/>
  <c r="AO14" i="74"/>
  <c r="AO12" i="74"/>
  <c r="AO10" i="74"/>
  <c r="AO18" i="74" s="1"/>
  <c r="AO7" i="74"/>
  <c r="AO21" i="74" s="1"/>
  <c r="AO29" i="74" s="1"/>
  <c r="AI7" i="74"/>
  <c r="AI21" i="74" s="1"/>
  <c r="AI29" i="74" s="1"/>
  <c r="AG7" i="74"/>
  <c r="AG197" i="74" s="1"/>
  <c r="AA7" i="74"/>
  <c r="AA197" i="74" s="1"/>
  <c r="Y7" i="74"/>
  <c r="Y198" i="74" s="1"/>
  <c r="Y199" i="74" s="1"/>
  <c r="W7" i="74"/>
  <c r="W198" i="74" s="1"/>
  <c r="M7" i="74"/>
  <c r="M197" i="74" s="1"/>
  <c r="E7" i="74"/>
  <c r="AO3" i="74"/>
  <c r="AI3" i="74"/>
  <c r="AG3" i="74"/>
  <c r="AE3" i="74"/>
  <c r="AC3" i="74"/>
  <c r="AA3" i="74"/>
  <c r="Y3" i="74"/>
  <c r="W3" i="74"/>
  <c r="Q3" i="74"/>
  <c r="O3" i="74"/>
  <c r="M3" i="74"/>
  <c r="K3" i="74"/>
  <c r="I3" i="74"/>
  <c r="G3" i="74"/>
  <c r="AI196" i="74" l="1"/>
  <c r="U196" i="74"/>
  <c r="W192" i="74"/>
  <c r="AA200" i="74"/>
  <c r="AA199" i="74"/>
  <c r="AY39" i="74"/>
  <c r="BA39" i="74" s="1"/>
  <c r="AY43" i="74"/>
  <c r="BA43" i="74" s="1"/>
  <c r="AY37" i="74"/>
  <c r="BA37" i="74" s="1"/>
  <c r="W199" i="74"/>
  <c r="W200" i="74"/>
  <c r="AY40" i="74"/>
  <c r="BA40" i="74" s="1"/>
  <c r="E197" i="74"/>
  <c r="AY38" i="74"/>
  <c r="BA38" i="74" s="1"/>
  <c r="AY41" i="74"/>
  <c r="BA41" i="74" s="1"/>
  <c r="AO159" i="74"/>
  <c r="AO179" i="74" s="1"/>
  <c r="AO192" i="74" s="1"/>
  <c r="AO196" i="74" s="1"/>
  <c r="BA42" i="74"/>
  <c r="AY42" i="74"/>
  <c r="E199" i="74"/>
  <c r="E200" i="74"/>
  <c r="K197" i="74"/>
  <c r="K200" i="74"/>
  <c r="K199" i="74"/>
  <c r="Q196" i="74"/>
  <c r="AY34" i="74"/>
  <c r="BA34" i="74" s="1"/>
  <c r="AY36" i="74"/>
  <c r="BA36" i="74"/>
  <c r="S196" i="74"/>
  <c r="W21" i="74"/>
  <c r="W29" i="74" s="1"/>
  <c r="W196" i="74" s="1"/>
  <c r="Q197" i="74"/>
  <c r="E198" i="74"/>
  <c r="Y21" i="74"/>
  <c r="Y29" i="74" s="1"/>
  <c r="Y196" i="74" s="1"/>
  <c r="W197" i="74"/>
  <c r="G200" i="74"/>
  <c r="AA21" i="74"/>
  <c r="AA29" i="74" s="1"/>
  <c r="AA196" i="74" s="1"/>
  <c r="AU44" i="74"/>
  <c r="AW44" i="74" s="1"/>
  <c r="K177" i="74"/>
  <c r="K179" i="74" s="1"/>
  <c r="K192" i="74" s="1"/>
  <c r="K196" i="74" s="1"/>
  <c r="Y197" i="74"/>
  <c r="AG198" i="74"/>
  <c r="O199" i="74"/>
  <c r="AE199" i="74"/>
  <c r="I200" i="74"/>
  <c r="M21" i="74"/>
  <c r="M29" i="74" s="1"/>
  <c r="M196" i="74" s="1"/>
  <c r="AY33" i="74"/>
  <c r="AU51" i="74"/>
  <c r="AW51" i="74" s="1"/>
  <c r="G197" i="74"/>
  <c r="M198" i="74"/>
  <c r="M199" i="74" s="1"/>
  <c r="AI198" i="74"/>
  <c r="Q199" i="74"/>
  <c r="AG199" i="74"/>
  <c r="AE200" i="74"/>
  <c r="AI199" i="74"/>
  <c r="AG21" i="74"/>
  <c r="AG29" i="74" s="1"/>
  <c r="AG196" i="74" s="1"/>
  <c r="AY44" i="74" l="1"/>
  <c r="BA44" i="74" s="1"/>
  <c r="AY45" i="74"/>
  <c r="AO200" i="74"/>
  <c r="BA33" i="74"/>
  <c r="AY51" i="74"/>
  <c r="BA51" i="74" s="1"/>
  <c r="AO198" i="74"/>
  <c r="AO199" i="74" s="1"/>
  <c r="AU45" i="74"/>
  <c r="BA45" i="74" l="1"/>
  <c r="N28" i="12" l="1"/>
  <c r="J12" i="12"/>
  <c r="R27" i="11"/>
  <c r="R23" i="11"/>
  <c r="N23" i="11" l="1"/>
  <c r="N27" i="11"/>
  <c r="J13" i="4" l="1"/>
  <c r="R22" i="13"/>
  <c r="N22" i="13"/>
  <c r="J39" i="1"/>
  <c r="J32" i="1"/>
  <c r="J34" i="1"/>
  <c r="J26" i="1"/>
  <c r="N11" i="1" l="1"/>
  <c r="R11" i="1" l="1"/>
  <c r="L50" i="1"/>
  <c r="J24" i="15" l="1"/>
  <c r="J10" i="15"/>
  <c r="J11" i="15" s="1"/>
  <c r="J12" i="15" s="1"/>
  <c r="J13" i="15" s="1"/>
  <c r="J14" i="15" s="1"/>
  <c r="J15" i="15" s="1"/>
  <c r="J16" i="15" s="1"/>
  <c r="J17" i="15" s="1"/>
  <c r="J18" i="15" s="1"/>
  <c r="J19" i="15" s="1"/>
  <c r="J20" i="15" s="1"/>
  <c r="J21" i="15" s="1"/>
  <c r="J22" i="15" s="1"/>
  <c r="P8" i="7" l="1"/>
  <c r="P9" i="7" s="1"/>
  <c r="P12" i="7"/>
  <c r="P16" i="7" s="1"/>
  <c r="P13" i="7"/>
  <c r="P14" i="7"/>
  <c r="P15" i="7"/>
  <c r="P21" i="7"/>
  <c r="P22" i="7"/>
  <c r="P23" i="7"/>
  <c r="P24" i="7"/>
  <c r="P25" i="7"/>
  <c r="P26" i="7"/>
  <c r="P27" i="7"/>
  <c r="P28" i="7"/>
  <c r="P29" i="7"/>
  <c r="P30" i="7" l="1"/>
  <c r="P32" i="7" s="1"/>
  <c r="P18" i="7"/>
  <c r="P35" i="1" l="1"/>
  <c r="R30" i="72" l="1"/>
  <c r="R32" i="72" s="1"/>
  <c r="N30" i="72"/>
  <c r="L30" i="72"/>
  <c r="J30" i="72"/>
  <c r="H30" i="72"/>
  <c r="F30" i="72"/>
  <c r="P29" i="72"/>
  <c r="P28" i="72"/>
  <c r="P27" i="72"/>
  <c r="AP26" i="72"/>
  <c r="AR26" i="72" s="1"/>
  <c r="AS26" i="72" s="1"/>
  <c r="P26" i="72"/>
  <c r="P25" i="72"/>
  <c r="P24" i="72"/>
  <c r="P23" i="72"/>
  <c r="P22" i="72"/>
  <c r="AP21" i="72"/>
  <c r="P21" i="72"/>
  <c r="R16" i="72"/>
  <c r="R18" i="72" s="1"/>
  <c r="N16" i="72"/>
  <c r="L16" i="72"/>
  <c r="L32" i="72" s="1"/>
  <c r="J16" i="72"/>
  <c r="H16" i="72"/>
  <c r="F16" i="72"/>
  <c r="AP15" i="72"/>
  <c r="AR15" i="72" s="1"/>
  <c r="AS15" i="72" s="1"/>
  <c r="P15" i="72"/>
  <c r="P14" i="72"/>
  <c r="P13" i="72"/>
  <c r="P12" i="72"/>
  <c r="P16" i="72" s="1"/>
  <c r="AP11" i="72"/>
  <c r="AR11" i="72" s="1"/>
  <c r="AS11" i="72" s="1"/>
  <c r="R9" i="72"/>
  <c r="N9" i="72"/>
  <c r="L9" i="72"/>
  <c r="J9" i="72"/>
  <c r="H9" i="72"/>
  <c r="F9" i="72"/>
  <c r="AP8" i="72"/>
  <c r="AR8" i="72" s="1"/>
  <c r="AS8" i="72" s="1"/>
  <c r="P8" i="72"/>
  <c r="P9" i="72" s="1"/>
  <c r="AH6" i="72"/>
  <c r="AG6" i="72"/>
  <c r="AF6" i="72"/>
  <c r="AE6" i="72"/>
  <c r="R6" i="72"/>
  <c r="O6" i="72"/>
  <c r="N6" i="72"/>
  <c r="M6" i="72"/>
  <c r="L6" i="72"/>
  <c r="J6" i="72"/>
  <c r="H6" i="72"/>
  <c r="F6" i="72"/>
  <c r="O5" i="72"/>
  <c r="N5" i="72"/>
  <c r="M5" i="72"/>
  <c r="L5" i="72"/>
  <c r="J5" i="72"/>
  <c r="H5" i="72"/>
  <c r="F5" i="72"/>
  <c r="AP4" i="72"/>
  <c r="AP38" i="72" s="1"/>
  <c r="AR38" i="72" s="1"/>
  <c r="AS38" i="72" s="1"/>
  <c r="A4" i="72"/>
  <c r="A2" i="72"/>
  <c r="P21" i="5"/>
  <c r="J32" i="72" l="1"/>
  <c r="H32" i="72"/>
  <c r="F32" i="72"/>
  <c r="N35" i="72"/>
  <c r="N37" i="72" s="1"/>
  <c r="R35" i="72"/>
  <c r="R37" i="72" s="1"/>
  <c r="R39" i="72" s="1"/>
  <c r="P30" i="72"/>
  <c r="P32" i="72" s="1"/>
  <c r="N32" i="72"/>
  <c r="N18" i="72"/>
  <c r="L35" i="72"/>
  <c r="L37" i="72" s="1"/>
  <c r="L39" i="72" s="1"/>
  <c r="J18" i="72"/>
  <c r="H18" i="72"/>
  <c r="F18" i="72"/>
  <c r="L18" i="72"/>
  <c r="J35" i="72"/>
  <c r="J37" i="72" s="1"/>
  <c r="F35" i="72"/>
  <c r="F37" i="72" s="1"/>
  <c r="P18" i="72"/>
  <c r="H35" i="72"/>
  <c r="H37" i="72" s="1"/>
  <c r="AP35" i="72"/>
  <c r="AR35" i="72" s="1"/>
  <c r="AS35" i="72" s="1"/>
  <c r="AP13" i="72"/>
  <c r="AR13" i="72" s="1"/>
  <c r="AS13" i="72" s="1"/>
  <c r="AP31" i="72"/>
  <c r="AR31" i="72" s="1"/>
  <c r="AS31" i="72" s="1"/>
  <c r="AP34" i="72"/>
  <c r="AR34" i="72" s="1"/>
  <c r="AS34" i="72" s="1"/>
  <c r="AP37" i="72"/>
  <c r="AR37" i="72" s="1"/>
  <c r="AS37" i="72" s="1"/>
  <c r="AP23" i="72"/>
  <c r="AR23" i="72" s="1"/>
  <c r="AS23" i="72" s="1"/>
  <c r="AP27" i="72"/>
  <c r="AR27" i="72" s="1"/>
  <c r="AS27" i="72" s="1"/>
  <c r="AP32" i="72"/>
  <c r="AR32" i="72" s="1"/>
  <c r="AS32" i="72" s="1"/>
  <c r="AP30" i="72"/>
  <c r="AR30" i="72" s="1"/>
  <c r="AS30" i="72" s="1"/>
  <c r="AP36" i="72"/>
  <c r="AR36" i="72" s="1"/>
  <c r="AS36" i="72" s="1"/>
  <c r="AP24" i="72"/>
  <c r="AR24" i="72" s="1"/>
  <c r="AS24" i="72" s="1"/>
  <c r="AP9" i="72"/>
  <c r="AR9" i="72" s="1"/>
  <c r="AS9" i="72" s="1"/>
  <c r="AP16" i="72"/>
  <c r="AR16" i="72" s="1"/>
  <c r="AS16" i="72" s="1"/>
  <c r="AP19" i="72"/>
  <c r="AR19" i="72" s="1"/>
  <c r="AS19" i="72" s="1"/>
  <c r="AP28" i="72"/>
  <c r="AR28" i="72" s="1"/>
  <c r="AS28" i="72" s="1"/>
  <c r="AP39" i="72"/>
  <c r="AR39" i="72" s="1"/>
  <c r="AS39" i="72" s="1"/>
  <c r="AP7" i="72"/>
  <c r="AR7" i="72" s="1"/>
  <c r="AS7" i="72" s="1"/>
  <c r="AP14" i="72"/>
  <c r="AR14" i="72" s="1"/>
  <c r="AS14" i="72" s="1"/>
  <c r="AP18" i="72"/>
  <c r="AR18" i="72" s="1"/>
  <c r="AS18" i="72" s="1"/>
  <c r="AP33" i="72"/>
  <c r="AR33" i="72" s="1"/>
  <c r="AS33" i="72" s="1"/>
  <c r="AP10" i="72"/>
  <c r="AR10" i="72" s="1"/>
  <c r="AS10" i="72" s="1"/>
  <c r="AP17" i="72"/>
  <c r="AR17" i="72" s="1"/>
  <c r="AS17" i="72" s="1"/>
  <c r="AP20" i="72"/>
  <c r="AR20" i="72" s="1"/>
  <c r="AS20" i="72" s="1"/>
  <c r="AP25" i="72"/>
  <c r="AR25" i="72" s="1"/>
  <c r="AS25" i="72" s="1"/>
  <c r="AP40" i="72"/>
  <c r="AR40" i="72" s="1"/>
  <c r="AS40" i="72" s="1"/>
  <c r="AP22" i="72"/>
  <c r="AP29" i="72"/>
  <c r="AR29" i="72" s="1"/>
  <c r="AS29" i="72" s="1"/>
  <c r="AP12" i="72"/>
  <c r="AR12" i="72" s="1"/>
  <c r="AS12" i="72" s="1"/>
  <c r="P35" i="72" l="1"/>
  <c r="P37" i="72" s="1"/>
  <c r="P8" i="13" l="1"/>
  <c r="N26" i="13"/>
  <c r="N19" i="1"/>
  <c r="J28" i="6" l="1"/>
  <c r="H46" i="1" l="1"/>
  <c r="H9" i="70" l="1"/>
  <c r="H30" i="69" l="1"/>
  <c r="F30" i="69"/>
  <c r="F16" i="69"/>
  <c r="AR50" i="70"/>
  <c r="AP50" i="70"/>
  <c r="AM50" i="70"/>
  <c r="AS49" i="70"/>
  <c r="AT49" i="70" s="1"/>
  <c r="AS48" i="70"/>
  <c r="AT48" i="70" s="1"/>
  <c r="AS47" i="70"/>
  <c r="AT47" i="70" s="1"/>
  <c r="AS46" i="70"/>
  <c r="AT46" i="70" s="1"/>
  <c r="AS45" i="70"/>
  <c r="AT45" i="70" s="1"/>
  <c r="AS44" i="70"/>
  <c r="AT44" i="70" s="1"/>
  <c r="AS43" i="70"/>
  <c r="AT43" i="70" s="1"/>
  <c r="AS42" i="70"/>
  <c r="AT42" i="70" s="1"/>
  <c r="AS41" i="70"/>
  <c r="AT41" i="70" s="1"/>
  <c r="AS40" i="70"/>
  <c r="AT40" i="70" s="1"/>
  <c r="AS39" i="70"/>
  <c r="AT39" i="70" s="1"/>
  <c r="AS38" i="70"/>
  <c r="AT38" i="70" s="1"/>
  <c r="AS37" i="70"/>
  <c r="AT37" i="70" s="1"/>
  <c r="AS36" i="70"/>
  <c r="AT36" i="70" s="1"/>
  <c r="AS35" i="70"/>
  <c r="AT35" i="70" s="1"/>
  <c r="AS34" i="70"/>
  <c r="AT34" i="70" s="1"/>
  <c r="AS33" i="70"/>
  <c r="AT33" i="70" s="1"/>
  <c r="AS32" i="70"/>
  <c r="AT32" i="70" s="1"/>
  <c r="AS31" i="70"/>
  <c r="AT31" i="70" s="1"/>
  <c r="AS30" i="70"/>
  <c r="AT30" i="70" s="1"/>
  <c r="R30" i="70"/>
  <c r="L30" i="70"/>
  <c r="J30" i="70"/>
  <c r="H30" i="70"/>
  <c r="F30" i="70"/>
  <c r="AS29" i="70"/>
  <c r="AT29" i="70" s="1"/>
  <c r="P29" i="70"/>
  <c r="N29" i="70" s="1"/>
  <c r="AS28" i="70"/>
  <c r="AT28" i="70" s="1"/>
  <c r="P28" i="70"/>
  <c r="N28" i="70" s="1"/>
  <c r="AS27" i="70"/>
  <c r="AT27" i="70" s="1"/>
  <c r="P27" i="70"/>
  <c r="P26" i="70"/>
  <c r="N26" i="70" s="1"/>
  <c r="AH25" i="70"/>
  <c r="AG25" i="70"/>
  <c r="AF25" i="70"/>
  <c r="AE25" i="70"/>
  <c r="P25" i="70"/>
  <c r="N25" i="70" s="1"/>
  <c r="P24" i="70"/>
  <c r="N24" i="70" s="1"/>
  <c r="AQ23" i="70"/>
  <c r="AQ26" i="70" s="1"/>
  <c r="AQ50" i="70" s="1"/>
  <c r="P23" i="70"/>
  <c r="N23" i="70" s="1"/>
  <c r="P22" i="70"/>
  <c r="N22" i="70" s="1"/>
  <c r="P21" i="70"/>
  <c r="N21" i="70" s="1"/>
  <c r="R16" i="70"/>
  <c r="L16" i="70"/>
  <c r="J16" i="70"/>
  <c r="H16" i="70"/>
  <c r="H18" i="70" s="1"/>
  <c r="F16" i="70"/>
  <c r="P15" i="70"/>
  <c r="N15" i="70" s="1"/>
  <c r="P14" i="70"/>
  <c r="N14" i="70" s="1"/>
  <c r="P13" i="70"/>
  <c r="P12" i="70"/>
  <c r="R9" i="70"/>
  <c r="L9" i="70"/>
  <c r="J9" i="70"/>
  <c r="F9" i="70"/>
  <c r="P8" i="70"/>
  <c r="N9" i="70" s="1"/>
  <c r="AH6" i="70"/>
  <c r="AG6" i="70"/>
  <c r="AF6" i="70"/>
  <c r="AE6" i="70"/>
  <c r="R6" i="70"/>
  <c r="O6" i="70"/>
  <c r="N6" i="70"/>
  <c r="L6" i="70"/>
  <c r="J6" i="70"/>
  <c r="H6" i="70"/>
  <c r="F6" i="70"/>
  <c r="O5" i="70"/>
  <c r="N5" i="70"/>
  <c r="L5" i="70"/>
  <c r="J5" i="70"/>
  <c r="H5" i="70"/>
  <c r="F5" i="70"/>
  <c r="A4" i="70"/>
  <c r="A2" i="70"/>
  <c r="AR49" i="69"/>
  <c r="AP49" i="69"/>
  <c r="AM49" i="69"/>
  <c r="AS48" i="69"/>
  <c r="AT48" i="69" s="1"/>
  <c r="AS47" i="69"/>
  <c r="AT47" i="69" s="1"/>
  <c r="AS46" i="69"/>
  <c r="AT46" i="69" s="1"/>
  <c r="AS45" i="69"/>
  <c r="AT45" i="69" s="1"/>
  <c r="AS44" i="69"/>
  <c r="AT44" i="69" s="1"/>
  <c r="AS43" i="69"/>
  <c r="AT43" i="69" s="1"/>
  <c r="AS42" i="69"/>
  <c r="AT42" i="69" s="1"/>
  <c r="AS41" i="69"/>
  <c r="AT41" i="69" s="1"/>
  <c r="AS40" i="69"/>
  <c r="AT40" i="69" s="1"/>
  <c r="AS39" i="69"/>
  <c r="AT39" i="69" s="1"/>
  <c r="AS38" i="69"/>
  <c r="AT38" i="69" s="1"/>
  <c r="AS37" i="69"/>
  <c r="AT37" i="69" s="1"/>
  <c r="AS36" i="69"/>
  <c r="AT36" i="69" s="1"/>
  <c r="AS35" i="69"/>
  <c r="AT35" i="69" s="1"/>
  <c r="AS34" i="69"/>
  <c r="AT34" i="69" s="1"/>
  <c r="AS33" i="69"/>
  <c r="AT33" i="69" s="1"/>
  <c r="AS32" i="69"/>
  <c r="AT32" i="69" s="1"/>
  <c r="AS31" i="69"/>
  <c r="AT31" i="69" s="1"/>
  <c r="AS30" i="69"/>
  <c r="AT30" i="69" s="1"/>
  <c r="R30" i="69"/>
  <c r="L30" i="69"/>
  <c r="J30" i="69"/>
  <c r="AS29" i="69"/>
  <c r="AT29" i="69" s="1"/>
  <c r="P29" i="69"/>
  <c r="AS28" i="69"/>
  <c r="AT28" i="69" s="1"/>
  <c r="P28" i="69"/>
  <c r="AS27" i="69"/>
  <c r="AT27" i="69" s="1"/>
  <c r="P27" i="69"/>
  <c r="P26" i="69"/>
  <c r="AH25" i="69"/>
  <c r="AG25" i="69"/>
  <c r="AF25" i="69"/>
  <c r="AE25" i="69"/>
  <c r="P25" i="69"/>
  <c r="P24" i="69"/>
  <c r="AQ23" i="69"/>
  <c r="AQ26" i="69" s="1"/>
  <c r="AS26" i="69" s="1"/>
  <c r="P23" i="69"/>
  <c r="P22" i="69"/>
  <c r="P21" i="69"/>
  <c r="R16" i="69"/>
  <c r="L16" i="69"/>
  <c r="J16" i="69"/>
  <c r="H16" i="69"/>
  <c r="P15" i="69"/>
  <c r="P14" i="69"/>
  <c r="P13" i="69"/>
  <c r="P12" i="69"/>
  <c r="R9" i="69"/>
  <c r="R18" i="69" s="1"/>
  <c r="L9" i="69"/>
  <c r="J9" i="69"/>
  <c r="H9" i="69"/>
  <c r="F9" i="69"/>
  <c r="P8" i="69"/>
  <c r="AH6" i="69"/>
  <c r="AG6" i="69"/>
  <c r="AF6" i="69"/>
  <c r="AE6" i="69"/>
  <c r="R6" i="69"/>
  <c r="O6" i="69"/>
  <c r="N6" i="69"/>
  <c r="L6" i="69"/>
  <c r="J6" i="69"/>
  <c r="H6" i="69"/>
  <c r="F6" i="69"/>
  <c r="O5" i="69"/>
  <c r="N5" i="69"/>
  <c r="L5" i="69"/>
  <c r="J5" i="69"/>
  <c r="H5" i="69"/>
  <c r="F5" i="69"/>
  <c r="A4" i="69"/>
  <c r="A2" i="69"/>
  <c r="R32" i="70" l="1"/>
  <c r="R34" i="70"/>
  <c r="P9" i="70"/>
  <c r="R32" i="69"/>
  <c r="P9" i="69"/>
  <c r="L32" i="70"/>
  <c r="P16" i="70"/>
  <c r="L34" i="70"/>
  <c r="L35" i="70" s="1"/>
  <c r="L37" i="70" s="1"/>
  <c r="N16" i="70"/>
  <c r="N18" i="70" s="1"/>
  <c r="L32" i="69"/>
  <c r="P16" i="69"/>
  <c r="L34" i="69"/>
  <c r="L35" i="69" s="1"/>
  <c r="L37" i="69" s="1"/>
  <c r="N9" i="69"/>
  <c r="N30" i="70"/>
  <c r="F32" i="70"/>
  <c r="F34" i="70" s="1"/>
  <c r="F35" i="70" s="1"/>
  <c r="H32" i="70"/>
  <c r="H34" i="70" s="1"/>
  <c r="H35" i="70" s="1"/>
  <c r="J32" i="70"/>
  <c r="J34" i="70" s="1"/>
  <c r="J35" i="70" s="1"/>
  <c r="J32" i="69"/>
  <c r="J34" i="69" s="1"/>
  <c r="J35" i="69" s="1"/>
  <c r="N16" i="69"/>
  <c r="F18" i="70"/>
  <c r="H32" i="69"/>
  <c r="H34" i="69" s="1"/>
  <c r="H35" i="69" s="1"/>
  <c r="F32" i="69"/>
  <c r="F34" i="69" s="1"/>
  <c r="F35" i="69" s="1"/>
  <c r="R35" i="70"/>
  <c r="R37" i="70" s="1"/>
  <c r="AS26" i="70"/>
  <c r="P30" i="70"/>
  <c r="L18" i="70"/>
  <c r="R18" i="70"/>
  <c r="J18" i="70"/>
  <c r="N30" i="69"/>
  <c r="AS49" i="69"/>
  <c r="AT26" i="69"/>
  <c r="AT49" i="69" s="1"/>
  <c r="F18" i="69"/>
  <c r="P30" i="69"/>
  <c r="H18" i="69"/>
  <c r="J18" i="69"/>
  <c r="L18" i="69"/>
  <c r="R34" i="69"/>
  <c r="AQ49" i="69"/>
  <c r="P18" i="70" l="1"/>
  <c r="N34" i="70"/>
  <c r="P32" i="70"/>
  <c r="P18" i="69"/>
  <c r="P34" i="70"/>
  <c r="P35" i="70" s="1"/>
  <c r="N32" i="70"/>
  <c r="P32" i="69"/>
  <c r="N35" i="70"/>
  <c r="N34" i="69"/>
  <c r="N35" i="69" s="1"/>
  <c r="N32" i="69"/>
  <c r="N18" i="69"/>
  <c r="AS50" i="70"/>
  <c r="AT26" i="70"/>
  <c r="AT50" i="70" s="1"/>
  <c r="P34" i="69"/>
  <c r="P35" i="69" s="1"/>
  <c r="R35" i="69"/>
  <c r="R37" i="69" s="1"/>
  <c r="F44" i="57" l="1"/>
  <c r="P6" i="5" l="1"/>
  <c r="P6" i="72" s="1"/>
  <c r="P5" i="5"/>
  <c r="P5" i="72" s="1"/>
  <c r="P6" i="4"/>
  <c r="P5" i="4"/>
  <c r="P6" i="57"/>
  <c r="P5" i="57"/>
  <c r="P6" i="13"/>
  <c r="P5" i="13"/>
  <c r="F40" i="1"/>
  <c r="H40" i="1"/>
  <c r="J40" i="1"/>
  <c r="L40" i="1"/>
  <c r="N40" i="1"/>
  <c r="N46" i="1"/>
  <c r="P5" i="6" l="1"/>
  <c r="P5" i="7" s="1"/>
  <c r="P6" i="6"/>
  <c r="P6" i="7" s="1"/>
  <c r="N14" i="57"/>
  <c r="N15" i="57"/>
  <c r="N16" i="57"/>
  <c r="N17" i="57"/>
  <c r="N18" i="57"/>
  <c r="N19" i="57"/>
  <c r="N20" i="57"/>
  <c r="N21" i="57"/>
  <c r="N22" i="57"/>
  <c r="N23" i="57"/>
  <c r="AH6" i="11"/>
  <c r="AG6" i="11"/>
  <c r="AF6" i="11"/>
  <c r="AE6" i="11"/>
  <c r="AH22" i="10"/>
  <c r="AG22" i="10"/>
  <c r="AF22" i="10"/>
  <c r="AE22" i="10"/>
  <c r="AH20" i="10"/>
  <c r="AG20" i="10"/>
  <c r="AF20" i="10"/>
  <c r="AE20" i="10"/>
  <c r="K25" i="16"/>
  <c r="R5" i="72" l="1"/>
  <c r="R5" i="69"/>
  <c r="R5" i="70"/>
  <c r="P6" i="69"/>
  <c r="P6" i="70"/>
  <c r="P6" i="11"/>
  <c r="P6" i="8"/>
  <c r="P6" i="10"/>
  <c r="P6" i="12"/>
  <c r="P5" i="70"/>
  <c r="P5" i="69"/>
  <c r="P5" i="12"/>
  <c r="P5" i="11"/>
  <c r="P5" i="10"/>
  <c r="P5" i="8"/>
  <c r="N36" i="1" l="1"/>
  <c r="N37" i="1" s="1"/>
  <c r="AH25" i="11"/>
  <c r="AH6" i="12" s="1"/>
  <c r="AG25" i="11"/>
  <c r="AG6" i="12" s="1"/>
  <c r="AF25" i="11"/>
  <c r="AF6" i="12" s="1"/>
  <c r="AE25" i="11"/>
  <c r="AE6" i="12" s="1"/>
  <c r="AH6" i="10"/>
  <c r="AG6" i="10"/>
  <c r="AF6" i="10"/>
  <c r="AE6" i="10"/>
  <c r="AH6" i="8"/>
  <c r="AG6" i="8"/>
  <c r="AF6" i="8"/>
  <c r="AE6" i="8"/>
  <c r="AH6" i="7" l="1"/>
  <c r="AG6" i="7"/>
  <c r="AF6" i="7"/>
  <c r="AE6" i="7"/>
  <c r="AH6" i="6"/>
  <c r="AG6" i="6"/>
  <c r="AF6" i="6"/>
  <c r="AE6" i="6"/>
  <c r="AQ18" i="13"/>
  <c r="AQ18" i="57"/>
  <c r="AQ26" i="4"/>
  <c r="AQ26" i="5"/>
  <c r="L44" i="5" l="1"/>
  <c r="AH28" i="5"/>
  <c r="AG28" i="5"/>
  <c r="AF28" i="5"/>
  <c r="AE28" i="5"/>
  <c r="R6" i="12"/>
  <c r="O6" i="12"/>
  <c r="N6" i="12"/>
  <c r="M6" i="12"/>
  <c r="R5" i="12"/>
  <c r="O5" i="12"/>
  <c r="N5" i="12"/>
  <c r="M5" i="12"/>
  <c r="L6" i="12"/>
  <c r="L5" i="12"/>
  <c r="N36" i="4"/>
  <c r="R6" i="11"/>
  <c r="O6" i="11"/>
  <c r="N6" i="11"/>
  <c r="R5" i="11"/>
  <c r="O5" i="11"/>
  <c r="N5" i="11"/>
  <c r="L6" i="11"/>
  <c r="L5" i="11"/>
  <c r="R6" i="10"/>
  <c r="O6" i="10"/>
  <c r="N6" i="10"/>
  <c r="M6" i="10"/>
  <c r="R5" i="10"/>
  <c r="O5" i="10"/>
  <c r="N5" i="10"/>
  <c r="M5" i="10"/>
  <c r="L5" i="10"/>
  <c r="L6" i="10"/>
  <c r="R6" i="7"/>
  <c r="O6" i="7"/>
  <c r="N6" i="7"/>
  <c r="M6" i="7"/>
  <c r="L6" i="7"/>
  <c r="R6" i="8"/>
  <c r="O6" i="8"/>
  <c r="N6" i="8"/>
  <c r="M6" i="8"/>
  <c r="R5" i="8"/>
  <c r="O5" i="8"/>
  <c r="N5" i="8"/>
  <c r="M5" i="8"/>
  <c r="L6" i="8"/>
  <c r="L5" i="8"/>
  <c r="R5" i="7"/>
  <c r="O5" i="7"/>
  <c r="N5" i="7"/>
  <c r="M5" i="7"/>
  <c r="L5" i="7"/>
  <c r="R6" i="6"/>
  <c r="O6" i="6"/>
  <c r="N6" i="6"/>
  <c r="M6" i="6"/>
  <c r="R5" i="6"/>
  <c r="O5" i="6"/>
  <c r="N5" i="6"/>
  <c r="M5" i="6"/>
  <c r="L6" i="6"/>
  <c r="L5" i="6"/>
  <c r="AR48" i="4"/>
  <c r="AP48" i="4"/>
  <c r="AM48" i="4"/>
  <c r="AH28" i="4"/>
  <c r="AG28" i="4"/>
  <c r="AF28" i="4"/>
  <c r="AE28" i="4"/>
  <c r="AQ47" i="4"/>
  <c r="AS47" i="4" s="1"/>
  <c r="AT47" i="4" s="1"/>
  <c r="AH6" i="4"/>
  <c r="AG6" i="4"/>
  <c r="AF6" i="4"/>
  <c r="AE6" i="4"/>
  <c r="R6" i="5"/>
  <c r="O6" i="5"/>
  <c r="N6" i="5"/>
  <c r="M6" i="5"/>
  <c r="R5" i="5"/>
  <c r="O5" i="5"/>
  <c r="N5" i="5"/>
  <c r="M5" i="5"/>
  <c r="L6" i="5"/>
  <c r="L5" i="5"/>
  <c r="N9" i="5"/>
  <c r="R45" i="57"/>
  <c r="N45" i="57"/>
  <c r="N44" i="57"/>
  <c r="L45" i="57"/>
  <c r="P9" i="57"/>
  <c r="R23" i="57"/>
  <c r="L23" i="57"/>
  <c r="R22" i="57"/>
  <c r="L22" i="57"/>
  <c r="R21" i="57"/>
  <c r="L21" i="57"/>
  <c r="R20" i="57"/>
  <c r="L20" i="57"/>
  <c r="R19" i="57"/>
  <c r="L19" i="57"/>
  <c r="R18" i="57"/>
  <c r="L18" i="57"/>
  <c r="R17" i="57"/>
  <c r="L17" i="57"/>
  <c r="P17" i="57" s="1"/>
  <c r="R16" i="57"/>
  <c r="L16" i="57"/>
  <c r="R15" i="57"/>
  <c r="P15" i="57" s="1"/>
  <c r="L15" i="57"/>
  <c r="R14" i="57"/>
  <c r="L14" i="57"/>
  <c r="AR46" i="57"/>
  <c r="AP46" i="57"/>
  <c r="AM46" i="57"/>
  <c r="AH20" i="57"/>
  <c r="AG20" i="57"/>
  <c r="AF20" i="57"/>
  <c r="AE20" i="57"/>
  <c r="AH6" i="57"/>
  <c r="AG6" i="57"/>
  <c r="AF6" i="57"/>
  <c r="AE6" i="57"/>
  <c r="AH26" i="13"/>
  <c r="AG26" i="13"/>
  <c r="N24" i="13" s="1"/>
  <c r="AF26" i="13"/>
  <c r="AE26" i="13"/>
  <c r="N13" i="13"/>
  <c r="AH6" i="13"/>
  <c r="AG6" i="13"/>
  <c r="AF6" i="13"/>
  <c r="AE6" i="13"/>
  <c r="R6" i="4"/>
  <c r="R5" i="4"/>
  <c r="N6" i="4"/>
  <c r="N5" i="4"/>
  <c r="L6" i="4"/>
  <c r="L5" i="4"/>
  <c r="R6" i="13"/>
  <c r="R5" i="13"/>
  <c r="O6" i="57"/>
  <c r="N6" i="57"/>
  <c r="M6" i="57"/>
  <c r="O5" i="57"/>
  <c r="N5" i="57"/>
  <c r="M5" i="57"/>
  <c r="L6" i="57"/>
  <c r="L5" i="57"/>
  <c r="AH20" i="13"/>
  <c r="AG20" i="13"/>
  <c r="AF20" i="13"/>
  <c r="AE20" i="13"/>
  <c r="O6" i="13"/>
  <c r="N6" i="13"/>
  <c r="M6" i="13"/>
  <c r="O5" i="13"/>
  <c r="N5" i="13"/>
  <c r="M5" i="13"/>
  <c r="L6" i="13"/>
  <c r="L5" i="13"/>
  <c r="P21" i="57" l="1"/>
  <c r="P22" i="57"/>
  <c r="P16" i="57"/>
  <c r="P23" i="57"/>
  <c r="P14" i="57"/>
  <c r="P45" i="57"/>
  <c r="AQ31" i="4"/>
  <c r="AS31" i="4" s="1"/>
  <c r="AT31" i="4" s="1"/>
  <c r="AQ34" i="4"/>
  <c r="AS34" i="4" s="1"/>
  <c r="AT34" i="4" s="1"/>
  <c r="AQ42" i="4"/>
  <c r="AS42" i="4" s="1"/>
  <c r="AT42" i="4" s="1"/>
  <c r="AQ35" i="4"/>
  <c r="AS35" i="4" s="1"/>
  <c r="AT35" i="4" s="1"/>
  <c r="AQ45" i="4"/>
  <c r="AS45" i="4" s="1"/>
  <c r="AT45" i="4" s="1"/>
  <c r="AQ39" i="4"/>
  <c r="AS39" i="4" s="1"/>
  <c r="AT39" i="4" s="1"/>
  <c r="AQ46" i="4"/>
  <c r="AS46" i="4" s="1"/>
  <c r="AT46" i="4" s="1"/>
  <c r="P20" i="57"/>
  <c r="P18" i="57"/>
  <c r="L24" i="57"/>
  <c r="N24" i="57"/>
  <c r="P19" i="57"/>
  <c r="P24" i="57" s="1"/>
  <c r="P13" i="13"/>
  <c r="AQ29" i="4"/>
  <c r="AQ37" i="4"/>
  <c r="AS37" i="4" s="1"/>
  <c r="AT37" i="4" s="1"/>
  <c r="AQ32" i="4"/>
  <c r="AS32" i="4" s="1"/>
  <c r="AT32" i="4" s="1"/>
  <c r="AQ40" i="4"/>
  <c r="AS40" i="4" s="1"/>
  <c r="AT40" i="4" s="1"/>
  <c r="AQ43" i="4"/>
  <c r="AS43" i="4" s="1"/>
  <c r="AT43" i="4" s="1"/>
  <c r="AQ30" i="4"/>
  <c r="AS30" i="4" s="1"/>
  <c r="AT30" i="4" s="1"/>
  <c r="AQ38" i="4"/>
  <c r="AS38" i="4" s="1"/>
  <c r="AT38" i="4" s="1"/>
  <c r="AQ41" i="4"/>
  <c r="AS41" i="4" s="1"/>
  <c r="AT41" i="4" s="1"/>
  <c r="AQ33" i="4"/>
  <c r="AS33" i="4" s="1"/>
  <c r="AT33" i="4" s="1"/>
  <c r="AQ44" i="4"/>
  <c r="AS44" i="4" s="1"/>
  <c r="AT44" i="4" s="1"/>
  <c r="AQ36" i="4"/>
  <c r="AS36" i="4" s="1"/>
  <c r="AT36" i="4" s="1"/>
  <c r="AQ28" i="57"/>
  <c r="AS28" i="57" s="1"/>
  <c r="AT28" i="57" s="1"/>
  <c r="AQ36" i="57"/>
  <c r="AS36" i="57" s="1"/>
  <c r="AT36" i="57" s="1"/>
  <c r="R24" i="57"/>
  <c r="AQ38" i="57"/>
  <c r="AS38" i="57" s="1"/>
  <c r="AT38" i="57" s="1"/>
  <c r="AQ21" i="57"/>
  <c r="AS21" i="57" s="1"/>
  <c r="AQ37" i="57"/>
  <c r="AS37" i="57" s="1"/>
  <c r="AT37" i="57" s="1"/>
  <c r="AQ29" i="57"/>
  <c r="AS29" i="57" s="1"/>
  <c r="AT29" i="57" s="1"/>
  <c r="AQ39" i="57"/>
  <c r="AS39" i="57" s="1"/>
  <c r="AT39" i="57" s="1"/>
  <c r="AQ24" i="57"/>
  <c r="AS24" i="57" s="1"/>
  <c r="AT24" i="57" s="1"/>
  <c r="AQ30" i="57"/>
  <c r="AS30" i="57" s="1"/>
  <c r="AT30" i="57" s="1"/>
  <c r="AQ41" i="57"/>
  <c r="AS41" i="57" s="1"/>
  <c r="AT41" i="57" s="1"/>
  <c r="AQ25" i="57"/>
  <c r="AS25" i="57" s="1"/>
  <c r="AT25" i="57" s="1"/>
  <c r="AQ31" i="57"/>
  <c r="AS31" i="57" s="1"/>
  <c r="AT31" i="57" s="1"/>
  <c r="AQ33" i="57"/>
  <c r="AS33" i="57" s="1"/>
  <c r="AT33" i="57" s="1"/>
  <c r="AQ44" i="57"/>
  <c r="AS44" i="57" s="1"/>
  <c r="AT44" i="57" s="1"/>
  <c r="AQ45" i="57"/>
  <c r="AS45" i="57" s="1"/>
  <c r="AT45" i="57" s="1"/>
  <c r="AT21" i="57"/>
  <c r="AQ22" i="57"/>
  <c r="AS22" i="57" s="1"/>
  <c r="AT22" i="57" s="1"/>
  <c r="AQ26" i="57"/>
  <c r="AS26" i="57" s="1"/>
  <c r="AT26" i="57" s="1"/>
  <c r="AQ34" i="57"/>
  <c r="AS34" i="57" s="1"/>
  <c r="AT34" i="57" s="1"/>
  <c r="AQ42" i="57"/>
  <c r="AS42" i="57" s="1"/>
  <c r="AT42" i="57" s="1"/>
  <c r="AQ32" i="57"/>
  <c r="AS32" i="57" s="1"/>
  <c r="AT32" i="57" s="1"/>
  <c r="AQ40" i="57"/>
  <c r="AS40" i="57" s="1"/>
  <c r="AT40" i="57" s="1"/>
  <c r="AQ23" i="57"/>
  <c r="AS23" i="57" s="1"/>
  <c r="AT23" i="57" s="1"/>
  <c r="AQ27" i="57"/>
  <c r="AS27" i="57" s="1"/>
  <c r="AT27" i="57" s="1"/>
  <c r="AQ35" i="57"/>
  <c r="AS35" i="57" s="1"/>
  <c r="AT35" i="57" s="1"/>
  <c r="AQ43" i="57"/>
  <c r="AS43" i="57" s="1"/>
  <c r="AT43" i="57" s="1"/>
  <c r="P14" i="13"/>
  <c r="P26" i="5"/>
  <c r="P25" i="5"/>
  <c r="A4" i="12"/>
  <c r="A2" i="12"/>
  <c r="A4" i="11"/>
  <c r="A2" i="11"/>
  <c r="A4" i="10"/>
  <c r="A2" i="10"/>
  <c r="A4" i="8"/>
  <c r="A2" i="8"/>
  <c r="A4" i="7"/>
  <c r="A2" i="7"/>
  <c r="A4" i="6"/>
  <c r="A2" i="6"/>
  <c r="A4" i="5"/>
  <c r="A2" i="5"/>
  <c r="A4" i="4"/>
  <c r="A2" i="4"/>
  <c r="A4" i="57"/>
  <c r="A2" i="57"/>
  <c r="A4" i="13"/>
  <c r="A2" i="13"/>
  <c r="A4" i="1"/>
  <c r="A2" i="1"/>
  <c r="A4" i="24"/>
  <c r="A2" i="24"/>
  <c r="A2" i="16"/>
  <c r="L15" i="5"/>
  <c r="R15" i="5"/>
  <c r="A4" i="16"/>
  <c r="X40" i="1"/>
  <c r="X36" i="1"/>
  <c r="X20" i="1"/>
  <c r="X43" i="1" s="1"/>
  <c r="L36" i="4"/>
  <c r="R30" i="8"/>
  <c r="L30" i="8"/>
  <c r="J30" i="8"/>
  <c r="H30" i="8"/>
  <c r="F30" i="8"/>
  <c r="P29" i="8"/>
  <c r="P28" i="8"/>
  <c r="P27" i="8"/>
  <c r="P26" i="8"/>
  <c r="P25" i="8"/>
  <c r="P24" i="8"/>
  <c r="P23" i="8"/>
  <c r="P22" i="8"/>
  <c r="P21" i="8"/>
  <c r="R16" i="8"/>
  <c r="L16" i="8"/>
  <c r="J16" i="8"/>
  <c r="H16" i="8"/>
  <c r="F16" i="8"/>
  <c r="P15" i="8"/>
  <c r="P14" i="8"/>
  <c r="P13" i="8"/>
  <c r="P12" i="8"/>
  <c r="R9" i="8"/>
  <c r="L9" i="8"/>
  <c r="J9" i="8"/>
  <c r="H9" i="8"/>
  <c r="F9" i="8"/>
  <c r="P8" i="8"/>
  <c r="J6" i="8"/>
  <c r="H6" i="8"/>
  <c r="F6" i="8"/>
  <c r="J5" i="8"/>
  <c r="H5" i="8"/>
  <c r="F5" i="8"/>
  <c r="P30" i="10"/>
  <c r="N30" i="10" s="1"/>
  <c r="P29" i="10"/>
  <c r="AS47" i="11"/>
  <c r="AT47" i="11" s="1"/>
  <c r="AS48" i="11"/>
  <c r="AT48" i="11" s="1"/>
  <c r="AS46" i="11"/>
  <c r="AT46" i="11" s="1"/>
  <c r="AQ54" i="5"/>
  <c r="AS54" i="5" s="1"/>
  <c r="AT54" i="5" s="1"/>
  <c r="AP4" i="6"/>
  <c r="AP40" i="6" s="1"/>
  <c r="AQ4" i="7"/>
  <c r="AQ35" i="7" s="1"/>
  <c r="AQ4" i="8"/>
  <c r="AQ34" i="8" s="1"/>
  <c r="J15" i="5"/>
  <c r="H15" i="5"/>
  <c r="F15" i="5"/>
  <c r="J36" i="4"/>
  <c r="J10" i="4"/>
  <c r="H10" i="4"/>
  <c r="F10" i="4"/>
  <c r="L10" i="4"/>
  <c r="P8" i="4"/>
  <c r="R10" i="4"/>
  <c r="R36" i="4"/>
  <c r="H44" i="57"/>
  <c r="J44" i="57"/>
  <c r="L44" i="57"/>
  <c r="R44" i="57"/>
  <c r="P8" i="57"/>
  <c r="J11" i="57"/>
  <c r="H11" i="57"/>
  <c r="F11" i="57"/>
  <c r="R11" i="57"/>
  <c r="L11" i="57"/>
  <c r="H28" i="5"/>
  <c r="P22" i="6"/>
  <c r="P21" i="6"/>
  <c r="P15" i="10"/>
  <c r="N15" i="10" s="1"/>
  <c r="P14" i="10"/>
  <c r="L35" i="8" l="1"/>
  <c r="H32" i="5"/>
  <c r="R32" i="8"/>
  <c r="R35" i="8"/>
  <c r="P35" i="8" s="1"/>
  <c r="F32" i="8"/>
  <c r="F35" i="8" s="1"/>
  <c r="F36" i="8" s="1"/>
  <c r="N16" i="8"/>
  <c r="N30" i="8"/>
  <c r="P9" i="8"/>
  <c r="N9" i="8"/>
  <c r="AQ48" i="4"/>
  <c r="AS29" i="4"/>
  <c r="I26" i="24"/>
  <c r="AT46" i="57"/>
  <c r="AQ46" i="57"/>
  <c r="AS46" i="57"/>
  <c r="H32" i="8"/>
  <c r="H35" i="8" s="1"/>
  <c r="H36" i="8" s="1"/>
  <c r="L32" i="8"/>
  <c r="L36" i="8" s="1"/>
  <c r="L38" i="8" s="1"/>
  <c r="P16" i="8"/>
  <c r="L18" i="8"/>
  <c r="J32" i="8"/>
  <c r="J35" i="8" s="1"/>
  <c r="J36" i="8" s="1"/>
  <c r="R18" i="8"/>
  <c r="P30" i="8"/>
  <c r="J18" i="8"/>
  <c r="N20" i="1"/>
  <c r="X22" i="1"/>
  <c r="F18" i="8"/>
  <c r="H18" i="8"/>
  <c r="AQ37" i="7"/>
  <c r="AS37" i="7" s="1"/>
  <c r="AT37" i="7" s="1"/>
  <c r="AQ55" i="5"/>
  <c r="AS55" i="5" s="1"/>
  <c r="AT55" i="5" s="1"/>
  <c r="AP37" i="6"/>
  <c r="AR37" i="6" s="1"/>
  <c r="AS37" i="6" s="1"/>
  <c r="AQ37" i="8"/>
  <c r="AS37" i="8" s="1"/>
  <c r="AT37" i="8" s="1"/>
  <c r="P44" i="57"/>
  <c r="AQ38" i="7"/>
  <c r="AS38" i="7" s="1"/>
  <c r="AT38" i="7" s="1"/>
  <c r="AP38" i="6"/>
  <c r="AR38" i="6" s="1"/>
  <c r="AS38" i="6" s="1"/>
  <c r="AQ38" i="8"/>
  <c r="AS38" i="8" s="1"/>
  <c r="AT38" i="8" s="1"/>
  <c r="AQ15" i="7"/>
  <c r="AQ56" i="5"/>
  <c r="AS56" i="5" s="1"/>
  <c r="AT56" i="5" s="1"/>
  <c r="AQ23" i="7"/>
  <c r="AQ7" i="7"/>
  <c r="AQ25" i="7"/>
  <c r="AQ31" i="7"/>
  <c r="AQ30" i="5"/>
  <c r="AQ38" i="5"/>
  <c r="AQ29" i="8"/>
  <c r="AQ46" i="5"/>
  <c r="AQ9" i="7"/>
  <c r="AP9" i="6"/>
  <c r="AP25" i="6"/>
  <c r="AQ8" i="7"/>
  <c r="AQ24" i="7"/>
  <c r="AP10" i="6"/>
  <c r="AP26" i="6"/>
  <c r="AQ36" i="5"/>
  <c r="AP11" i="6"/>
  <c r="AP27" i="6"/>
  <c r="AQ7" i="8"/>
  <c r="AQ12" i="7"/>
  <c r="AQ28" i="7"/>
  <c r="AP14" i="6"/>
  <c r="AP30" i="6"/>
  <c r="AQ44" i="5"/>
  <c r="AP17" i="6"/>
  <c r="AP7" i="6"/>
  <c r="AQ16" i="7"/>
  <c r="AQ32" i="7"/>
  <c r="AP18" i="6"/>
  <c r="AP34" i="6"/>
  <c r="AQ53" i="5"/>
  <c r="AP33" i="6"/>
  <c r="AQ13" i="8"/>
  <c r="AQ17" i="7"/>
  <c r="AQ33" i="7"/>
  <c r="AP19" i="6"/>
  <c r="AP35" i="6"/>
  <c r="AQ58" i="5"/>
  <c r="AP36" i="6"/>
  <c r="AR36" i="6" s="1"/>
  <c r="AS36" i="6" s="1"/>
  <c r="AQ21" i="8"/>
  <c r="AQ20" i="7"/>
  <c r="AQ39" i="7"/>
  <c r="AP22" i="6"/>
  <c r="AQ11" i="8"/>
  <c r="AQ19" i="8"/>
  <c r="AQ27" i="8"/>
  <c r="AQ35" i="8"/>
  <c r="AQ13" i="7"/>
  <c r="AQ21" i="7"/>
  <c r="AQ29" i="7"/>
  <c r="AP15" i="6"/>
  <c r="AP23" i="6"/>
  <c r="AP31" i="6"/>
  <c r="AQ34" i="5"/>
  <c r="AQ42" i="5"/>
  <c r="AQ51" i="5"/>
  <c r="AQ27" i="13"/>
  <c r="AQ31" i="8"/>
  <c r="AQ12" i="8"/>
  <c r="AQ20" i="8"/>
  <c r="AQ28" i="8"/>
  <c r="AQ39" i="8"/>
  <c r="AQ14" i="7"/>
  <c r="AQ22" i="7"/>
  <c r="AQ30" i="7"/>
  <c r="AP8" i="6"/>
  <c r="AP16" i="6"/>
  <c r="AP24" i="6"/>
  <c r="AP32" i="6"/>
  <c r="AQ35" i="5"/>
  <c r="AQ43" i="5"/>
  <c r="AQ52" i="5"/>
  <c r="AQ36" i="7"/>
  <c r="AS36" i="7" s="1"/>
  <c r="AT36" i="7" s="1"/>
  <c r="AQ21" i="13"/>
  <c r="AQ14" i="8"/>
  <c r="AQ22" i="8"/>
  <c r="AQ30" i="8"/>
  <c r="AQ29" i="5"/>
  <c r="AQ37" i="5"/>
  <c r="AQ45" i="5"/>
  <c r="AQ57" i="5"/>
  <c r="AQ22" i="13"/>
  <c r="AQ15" i="8"/>
  <c r="AQ23" i="13"/>
  <c r="AQ8" i="8"/>
  <c r="AQ16" i="8"/>
  <c r="AQ24" i="8"/>
  <c r="AQ32" i="8"/>
  <c r="AQ10" i="7"/>
  <c r="AQ18" i="7"/>
  <c r="AQ26" i="7"/>
  <c r="AQ34" i="7"/>
  <c r="AP12" i="6"/>
  <c r="AP20" i="6"/>
  <c r="AP28" i="6"/>
  <c r="AP39" i="6"/>
  <c r="AQ31" i="5"/>
  <c r="AQ39" i="5"/>
  <c r="AQ47" i="5"/>
  <c r="AQ24" i="13"/>
  <c r="AQ9" i="8"/>
  <c r="AQ17" i="8"/>
  <c r="AQ25" i="8"/>
  <c r="AQ33" i="8"/>
  <c r="AQ11" i="7"/>
  <c r="AQ19" i="7"/>
  <c r="AQ27" i="7"/>
  <c r="AP13" i="6"/>
  <c r="AP21" i="6"/>
  <c r="AP29" i="6"/>
  <c r="AQ32" i="5"/>
  <c r="AQ40" i="5"/>
  <c r="AQ25" i="13"/>
  <c r="AQ36" i="8"/>
  <c r="AS36" i="8" s="1"/>
  <c r="AT36" i="8" s="1"/>
  <c r="AQ23" i="8"/>
  <c r="AQ10" i="8"/>
  <c r="AQ18" i="8"/>
  <c r="AQ26" i="8"/>
  <c r="AQ33" i="5"/>
  <c r="AQ41" i="5"/>
  <c r="AQ50" i="5"/>
  <c r="AQ26" i="13"/>
  <c r="R30" i="6"/>
  <c r="L30" i="6"/>
  <c r="H30" i="6"/>
  <c r="J30" i="6"/>
  <c r="F30" i="6"/>
  <c r="N35" i="8" l="1"/>
  <c r="N43" i="1"/>
  <c r="N21" i="1"/>
  <c r="N32" i="8"/>
  <c r="P18" i="8"/>
  <c r="P32" i="8"/>
  <c r="N18" i="8"/>
  <c r="AT29" i="4"/>
  <c r="AT48" i="4" s="1"/>
  <c r="AS48" i="4"/>
  <c r="R36" i="8"/>
  <c r="R38" i="8" s="1"/>
  <c r="P13" i="4"/>
  <c r="P14" i="4"/>
  <c r="P15" i="4"/>
  <c r="P16" i="4"/>
  <c r="P22" i="4"/>
  <c r="P23" i="4"/>
  <c r="P24" i="4"/>
  <c r="P25" i="4"/>
  <c r="P26" i="4"/>
  <c r="P27" i="4"/>
  <c r="P28" i="4"/>
  <c r="P29" i="4"/>
  <c r="P30" i="4"/>
  <c r="AR59" i="5"/>
  <c r="AR50" i="11"/>
  <c r="AR28" i="13"/>
  <c r="AP59" i="5"/>
  <c r="AP50" i="11"/>
  <c r="AP28" i="13"/>
  <c r="AM59" i="5"/>
  <c r="AM50" i="11"/>
  <c r="AM28" i="13"/>
  <c r="AS58" i="5"/>
  <c r="AT58" i="5" s="1"/>
  <c r="AS57" i="5"/>
  <c r="AT57" i="5" s="1"/>
  <c r="AS53" i="5"/>
  <c r="AT53" i="5" s="1"/>
  <c r="AS52" i="5"/>
  <c r="AT52" i="5" s="1"/>
  <c r="AS51" i="5"/>
  <c r="AT51" i="5" s="1"/>
  <c r="AS50" i="5"/>
  <c r="AT50" i="5" s="1"/>
  <c r="AS47" i="5"/>
  <c r="AT47" i="5" s="1"/>
  <c r="AS46" i="5"/>
  <c r="AT46" i="5" s="1"/>
  <c r="AS45" i="5"/>
  <c r="AT45" i="5" s="1"/>
  <c r="AS44" i="5"/>
  <c r="AT44" i="5" s="1"/>
  <c r="AS43" i="5"/>
  <c r="AT43" i="5" s="1"/>
  <c r="AS42" i="5"/>
  <c r="AT42" i="5" s="1"/>
  <c r="AS41" i="5"/>
  <c r="AT41" i="5" s="1"/>
  <c r="AS40" i="5"/>
  <c r="AT40" i="5" s="1"/>
  <c r="AS39" i="5"/>
  <c r="AT39" i="5" s="1"/>
  <c r="AS38" i="5"/>
  <c r="AT38" i="5" s="1"/>
  <c r="AS37" i="5"/>
  <c r="AT37" i="5" s="1"/>
  <c r="AS36" i="5"/>
  <c r="AT36" i="5" s="1"/>
  <c r="AS35" i="5"/>
  <c r="AT35" i="5" s="1"/>
  <c r="AS34" i="5"/>
  <c r="AT34" i="5" s="1"/>
  <c r="AS33" i="5"/>
  <c r="AT33" i="5" s="1"/>
  <c r="AS32" i="5"/>
  <c r="AT32" i="5" s="1"/>
  <c r="AS31" i="5"/>
  <c r="AT31" i="5" s="1"/>
  <c r="AS30" i="5"/>
  <c r="AT30" i="5" s="1"/>
  <c r="AS29" i="5"/>
  <c r="AT29" i="5" s="1"/>
  <c r="AR40" i="6"/>
  <c r="AS40" i="6" s="1"/>
  <c r="AR39" i="6"/>
  <c r="AS39" i="6" s="1"/>
  <c r="AR35" i="6"/>
  <c r="AS35" i="6" s="1"/>
  <c r="AR34" i="6"/>
  <c r="AS34" i="6" s="1"/>
  <c r="AR33" i="6"/>
  <c r="AS33" i="6" s="1"/>
  <c r="AR32" i="6"/>
  <c r="AS32" i="6" s="1"/>
  <c r="AR31" i="6"/>
  <c r="AS31" i="6" s="1"/>
  <c r="AR30" i="6"/>
  <c r="AS30" i="6" s="1"/>
  <c r="AR29" i="6"/>
  <c r="AS29" i="6" s="1"/>
  <c r="AR28" i="6"/>
  <c r="AS28" i="6" s="1"/>
  <c r="AR27" i="6"/>
  <c r="AS27" i="6" s="1"/>
  <c r="AR26" i="6"/>
  <c r="AS26" i="6" s="1"/>
  <c r="AR25" i="6"/>
  <c r="AS25" i="6" s="1"/>
  <c r="AR24" i="6"/>
  <c r="AS24" i="6" s="1"/>
  <c r="AR23" i="6"/>
  <c r="AS23" i="6" s="1"/>
  <c r="AR20" i="6"/>
  <c r="AS20" i="6" s="1"/>
  <c r="AR19" i="6"/>
  <c r="AS19" i="6" s="1"/>
  <c r="AR18" i="6"/>
  <c r="AS18" i="6" s="1"/>
  <c r="AR17" i="6"/>
  <c r="AS17" i="6" s="1"/>
  <c r="AR16" i="6"/>
  <c r="AS16" i="6" s="1"/>
  <c r="AR15" i="6"/>
  <c r="AS15" i="6" s="1"/>
  <c r="AR14" i="6"/>
  <c r="AS14" i="6" s="1"/>
  <c r="AR13" i="6"/>
  <c r="AS13" i="6" s="1"/>
  <c r="AR12" i="6"/>
  <c r="AS12" i="6" s="1"/>
  <c r="AR11" i="6"/>
  <c r="AS11" i="6" s="1"/>
  <c r="AR10" i="6"/>
  <c r="AS10" i="6" s="1"/>
  <c r="AR9" i="6"/>
  <c r="AS9" i="6" s="1"/>
  <c r="AR8" i="6"/>
  <c r="AS8" i="6" s="1"/>
  <c r="AR7" i="6"/>
  <c r="AS7" i="6" s="1"/>
  <c r="AS39" i="7"/>
  <c r="AT39" i="7" s="1"/>
  <c r="AS35" i="7"/>
  <c r="AT35" i="7" s="1"/>
  <c r="AS34" i="7"/>
  <c r="AT34" i="7" s="1"/>
  <c r="AS33" i="7"/>
  <c r="AT33" i="7" s="1"/>
  <c r="AS32" i="7"/>
  <c r="AT32" i="7" s="1"/>
  <c r="AS31" i="7"/>
  <c r="AT31" i="7" s="1"/>
  <c r="AS30" i="7"/>
  <c r="AT30" i="7" s="1"/>
  <c r="AS29" i="7"/>
  <c r="AT29" i="7" s="1"/>
  <c r="AS28" i="7"/>
  <c r="AT28" i="7" s="1"/>
  <c r="AS27" i="7"/>
  <c r="AT27" i="7" s="1"/>
  <c r="AS26" i="7"/>
  <c r="AT26" i="7" s="1"/>
  <c r="AS25" i="7"/>
  <c r="AT25" i="7" s="1"/>
  <c r="AS24" i="7"/>
  <c r="AT24" i="7" s="1"/>
  <c r="AS23" i="7"/>
  <c r="AT23" i="7" s="1"/>
  <c r="AS22" i="7"/>
  <c r="AT22" i="7" s="1"/>
  <c r="AS21" i="7"/>
  <c r="AT21" i="7" s="1"/>
  <c r="AS20" i="7"/>
  <c r="AT20" i="7" s="1"/>
  <c r="AS19" i="7"/>
  <c r="AT19" i="7" s="1"/>
  <c r="AS18" i="7"/>
  <c r="AT18" i="7" s="1"/>
  <c r="AS17" i="7"/>
  <c r="AT17" i="7" s="1"/>
  <c r="AS16" i="7"/>
  <c r="AT16" i="7" s="1"/>
  <c r="AS15" i="7"/>
  <c r="AT15" i="7" s="1"/>
  <c r="AS14" i="7"/>
  <c r="AT14" i="7" s="1"/>
  <c r="AS13" i="7"/>
  <c r="AT13" i="7" s="1"/>
  <c r="AS12" i="7"/>
  <c r="AT12" i="7" s="1"/>
  <c r="AS11" i="7"/>
  <c r="AT11" i="7" s="1"/>
  <c r="AS10" i="7"/>
  <c r="AT10" i="7" s="1"/>
  <c r="AS9" i="7"/>
  <c r="AT9" i="7" s="1"/>
  <c r="AS8" i="7"/>
  <c r="AT8" i="7" s="1"/>
  <c r="AS7" i="7"/>
  <c r="AT7" i="7" s="1"/>
  <c r="AS39" i="8"/>
  <c r="AT39" i="8" s="1"/>
  <c r="AS35" i="8"/>
  <c r="AT35" i="8" s="1"/>
  <c r="AS34" i="8"/>
  <c r="AT34" i="8" s="1"/>
  <c r="AS33" i="8"/>
  <c r="AT33" i="8" s="1"/>
  <c r="AS32" i="8"/>
  <c r="AT32" i="8" s="1"/>
  <c r="AS31" i="8"/>
  <c r="AT31" i="8" s="1"/>
  <c r="AS30" i="8"/>
  <c r="AT30" i="8" s="1"/>
  <c r="AS29" i="8"/>
  <c r="AT29" i="8" s="1"/>
  <c r="AS28" i="8"/>
  <c r="AT28" i="8" s="1"/>
  <c r="AS27" i="8"/>
  <c r="AT27" i="8" s="1"/>
  <c r="AS26" i="8"/>
  <c r="AT26" i="8" s="1"/>
  <c r="AS25" i="8"/>
  <c r="AT25" i="8" s="1"/>
  <c r="AS24" i="8"/>
  <c r="AT24" i="8" s="1"/>
  <c r="AS23" i="8"/>
  <c r="AT23" i="8" s="1"/>
  <c r="AS22" i="8"/>
  <c r="AT22" i="8" s="1"/>
  <c r="AS21" i="8"/>
  <c r="AT21" i="8" s="1"/>
  <c r="AS20" i="8"/>
  <c r="AT20" i="8" s="1"/>
  <c r="AS19" i="8"/>
  <c r="AT19" i="8" s="1"/>
  <c r="AS18" i="8"/>
  <c r="AT18" i="8" s="1"/>
  <c r="AS17" i="8"/>
  <c r="AT17" i="8" s="1"/>
  <c r="AS16" i="8"/>
  <c r="AT16" i="8" s="1"/>
  <c r="AS15" i="8"/>
  <c r="AT15" i="8" s="1"/>
  <c r="AS14" i="8"/>
  <c r="AT14" i="8" s="1"/>
  <c r="AS13" i="8"/>
  <c r="AT13" i="8" s="1"/>
  <c r="AS12" i="8"/>
  <c r="AT12" i="8" s="1"/>
  <c r="AS11" i="8"/>
  <c r="AT11" i="8" s="1"/>
  <c r="AS10" i="8"/>
  <c r="AT10" i="8" s="1"/>
  <c r="AS9" i="8"/>
  <c r="AT9" i="8" s="1"/>
  <c r="AS8" i="8"/>
  <c r="AT8" i="8" s="1"/>
  <c r="AS7" i="8"/>
  <c r="AT7" i="8" s="1"/>
  <c r="AS49" i="11"/>
  <c r="AT49" i="11" s="1"/>
  <c r="AS45" i="11"/>
  <c r="AT45" i="11" s="1"/>
  <c r="AS44" i="11"/>
  <c r="AT44" i="11" s="1"/>
  <c r="AS43" i="11"/>
  <c r="AT43" i="11" s="1"/>
  <c r="AS42" i="11"/>
  <c r="AT42" i="11" s="1"/>
  <c r="AS41" i="11"/>
  <c r="AT41" i="11" s="1"/>
  <c r="AS40" i="11"/>
  <c r="AT40" i="11" s="1"/>
  <c r="AS39" i="11"/>
  <c r="AT39" i="11" s="1"/>
  <c r="AS38" i="11"/>
  <c r="AT38" i="11" s="1"/>
  <c r="AS37" i="11"/>
  <c r="AT37" i="11" s="1"/>
  <c r="AS36" i="11"/>
  <c r="AT36" i="11" s="1"/>
  <c r="AS35" i="11"/>
  <c r="AT35" i="11" s="1"/>
  <c r="AS34" i="11"/>
  <c r="AT34" i="11" s="1"/>
  <c r="AS33" i="11"/>
  <c r="AT33" i="11" s="1"/>
  <c r="AS32" i="11"/>
  <c r="AT32" i="11" s="1"/>
  <c r="AS31" i="11"/>
  <c r="AT31" i="11" s="1"/>
  <c r="AS30" i="11"/>
  <c r="AT30" i="11" s="1"/>
  <c r="AS29" i="11"/>
  <c r="AT29" i="11" s="1"/>
  <c r="AS28" i="11"/>
  <c r="AT28" i="11" s="1"/>
  <c r="AS27" i="11"/>
  <c r="AT27" i="11" s="1"/>
  <c r="AQ23" i="11"/>
  <c r="AQ26" i="11" s="1"/>
  <c r="AS26" i="11" s="1"/>
  <c r="AT26" i="11" s="1"/>
  <c r="AS27" i="13"/>
  <c r="AT27" i="13" s="1"/>
  <c r="AS26" i="13"/>
  <c r="AT26" i="13" s="1"/>
  <c r="AS25" i="13"/>
  <c r="AT25" i="13" s="1"/>
  <c r="AS24" i="13"/>
  <c r="AT24" i="13" s="1"/>
  <c r="AS23" i="13"/>
  <c r="AT23" i="13" s="1"/>
  <c r="AS22" i="13"/>
  <c r="AT22" i="13" s="1"/>
  <c r="AS21" i="13"/>
  <c r="AT21" i="13" s="1"/>
  <c r="R61" i="5"/>
  <c r="L61" i="5"/>
  <c r="J61" i="5"/>
  <c r="H61" i="5"/>
  <c r="F61" i="5"/>
  <c r="P60" i="5"/>
  <c r="P59" i="5"/>
  <c r="P58" i="5"/>
  <c r="P57" i="5"/>
  <c r="P56" i="5"/>
  <c r="P55" i="5"/>
  <c r="J46" i="1"/>
  <c r="F46" i="1"/>
  <c r="L46" i="1"/>
  <c r="R46" i="1"/>
  <c r="N61" i="5" l="1"/>
  <c r="P36" i="8"/>
  <c r="N36" i="8"/>
  <c r="N31" i="4"/>
  <c r="N17" i="4"/>
  <c r="P46" i="1"/>
  <c r="AT50" i="11"/>
  <c r="AT28" i="13"/>
  <c r="AS50" i="11"/>
  <c r="P61" i="5"/>
  <c r="AT59" i="5"/>
  <c r="AQ28" i="13"/>
  <c r="AQ50" i="11"/>
  <c r="AS28" i="13"/>
  <c r="AQ59" i="5"/>
  <c r="AS59" i="5"/>
  <c r="N33" i="4" l="1"/>
  <c r="P37" i="57" l="1"/>
  <c r="P36" i="57"/>
  <c r="P35" i="57"/>
  <c r="P34" i="57"/>
  <c r="P33" i="57"/>
  <c r="V2" i="5"/>
  <c r="P27" i="5"/>
  <c r="R28" i="5"/>
  <c r="L28" i="5"/>
  <c r="L32" i="5" s="1"/>
  <c r="J28" i="5"/>
  <c r="J32" i="5" s="1"/>
  <c r="F28" i="5"/>
  <c r="F32" i="5" s="1"/>
  <c r="J18" i="24"/>
  <c r="T37" i="5" l="1"/>
  <c r="T41" i="5"/>
  <c r="T42" i="5"/>
  <c r="T43" i="5"/>
  <c r="T35" i="5"/>
  <c r="T38" i="5"/>
  <c r="T39" i="5"/>
  <c r="T36" i="5"/>
  <c r="T40" i="5"/>
  <c r="R32" i="5"/>
  <c r="J29" i="16" l="1"/>
  <c r="J30" i="16" s="1"/>
  <c r="J32" i="16" s="1"/>
  <c r="J19" i="16"/>
  <c r="A2" i="15"/>
  <c r="J6" i="12"/>
  <c r="H6" i="12"/>
  <c r="F6" i="12"/>
  <c r="J5" i="12"/>
  <c r="H5" i="12"/>
  <c r="F5" i="12"/>
  <c r="J6" i="10"/>
  <c r="H6" i="10"/>
  <c r="F6" i="10"/>
  <c r="J5" i="10"/>
  <c r="H5" i="10"/>
  <c r="F5" i="10"/>
  <c r="J6" i="7"/>
  <c r="H6" i="7"/>
  <c r="F6" i="7"/>
  <c r="J5" i="7"/>
  <c r="H5" i="7"/>
  <c r="F5" i="7"/>
  <c r="J6" i="6"/>
  <c r="H6" i="6"/>
  <c r="F6" i="6"/>
  <c r="J5" i="6"/>
  <c r="H5" i="6"/>
  <c r="F5" i="6"/>
  <c r="J6" i="11"/>
  <c r="H6" i="11"/>
  <c r="F6" i="11"/>
  <c r="J5" i="11"/>
  <c r="H5" i="11"/>
  <c r="F5" i="11"/>
  <c r="J6" i="5"/>
  <c r="H6" i="5"/>
  <c r="F6" i="5"/>
  <c r="J5" i="5"/>
  <c r="H5" i="5"/>
  <c r="F5" i="5"/>
  <c r="J6" i="4"/>
  <c r="H6" i="4"/>
  <c r="F6" i="4"/>
  <c r="J5" i="4"/>
  <c r="H5" i="4"/>
  <c r="F5" i="4"/>
  <c r="J6" i="57"/>
  <c r="H6" i="57"/>
  <c r="F6" i="57"/>
  <c r="J5" i="57"/>
  <c r="H5" i="57"/>
  <c r="F5" i="57"/>
  <c r="J6" i="13"/>
  <c r="H6" i="13"/>
  <c r="F6" i="13"/>
  <c r="J5" i="13"/>
  <c r="H5" i="13"/>
  <c r="F5" i="13"/>
  <c r="A1" i="15" l="1"/>
  <c r="A1" i="72" l="1"/>
  <c r="A1" i="69"/>
  <c r="A1" i="70"/>
  <c r="A1" i="8"/>
  <c r="P13" i="10"/>
  <c r="N13" i="10" s="1"/>
  <c r="P32" i="57" l="1"/>
  <c r="P31" i="57"/>
  <c r="R39" i="57" l="1"/>
  <c r="R46" i="57" s="1"/>
  <c r="L39" i="57"/>
  <c r="L46" i="57" s="1"/>
  <c r="J39" i="57"/>
  <c r="H39" i="57"/>
  <c r="F39" i="57"/>
  <c r="P38" i="57"/>
  <c r="P30" i="57"/>
  <c r="P29" i="57"/>
  <c r="J24" i="57"/>
  <c r="H24" i="57"/>
  <c r="F24" i="57"/>
  <c r="P10" i="57"/>
  <c r="P11" i="57" l="1"/>
  <c r="N11" i="57"/>
  <c r="N39" i="57"/>
  <c r="N41" i="57" s="1"/>
  <c r="L41" i="57"/>
  <c r="J26" i="57"/>
  <c r="F26" i="57"/>
  <c r="H26" i="57"/>
  <c r="R41" i="57"/>
  <c r="F41" i="57"/>
  <c r="H41" i="57"/>
  <c r="J41" i="57"/>
  <c r="R26" i="57"/>
  <c r="L26" i="57"/>
  <c r="P39" i="57"/>
  <c r="N26" i="57" l="1"/>
  <c r="N46" i="57"/>
  <c r="J46" i="57"/>
  <c r="J47" i="57" s="1"/>
  <c r="H46" i="57"/>
  <c r="H47" i="57" s="1"/>
  <c r="F46" i="57"/>
  <c r="F47" i="57" s="1"/>
  <c r="P46" i="57"/>
  <c r="R47" i="57"/>
  <c r="P26" i="57"/>
  <c r="P41" i="57"/>
  <c r="P47" i="57" l="1"/>
  <c r="N47" i="57"/>
  <c r="R49" i="57"/>
  <c r="I28" i="24"/>
  <c r="K29" i="24" s="1"/>
  <c r="L47" i="57"/>
  <c r="L49" i="57" s="1"/>
  <c r="J30" i="12" l="1"/>
  <c r="J16" i="12"/>
  <c r="J32" i="10"/>
  <c r="J18" i="10"/>
  <c r="J30" i="7"/>
  <c r="J16" i="7"/>
  <c r="J16" i="6"/>
  <c r="J16" i="11"/>
  <c r="J30" i="11"/>
  <c r="A1" i="1"/>
  <c r="A1" i="13"/>
  <c r="A1" i="57" s="1"/>
  <c r="A1" i="4"/>
  <c r="A1" i="5"/>
  <c r="A1" i="11"/>
  <c r="A1" i="6"/>
  <c r="A1" i="7"/>
  <c r="A1" i="10"/>
  <c r="A1" i="12"/>
  <c r="A1" i="24"/>
  <c r="A1" i="16"/>
  <c r="J31" i="4"/>
  <c r="J17" i="4"/>
  <c r="J15" i="13"/>
  <c r="J34" i="10" l="1"/>
  <c r="J37" i="4"/>
  <c r="J38" i="4" s="1"/>
  <c r="J32" i="6"/>
  <c r="J32" i="7"/>
  <c r="J32" i="11"/>
  <c r="J33" i="4"/>
  <c r="J32" i="12"/>
  <c r="R40" i="1" l="1"/>
  <c r="Y17" i="1" l="1"/>
  <c r="P27" i="13" l="1"/>
  <c r="P22" i="5"/>
  <c r="P20" i="5"/>
  <c r="P19" i="5"/>
  <c r="P24" i="5"/>
  <c r="P18" i="5"/>
  <c r="P14" i="5"/>
  <c r="P23" i="5" l="1"/>
  <c r="N28" i="5" s="1"/>
  <c r="P28" i="5" l="1"/>
  <c r="P39" i="1" l="1"/>
  <c r="P40" i="1" s="1"/>
  <c r="K19" i="16" l="1"/>
  <c r="K29" i="16" l="1"/>
  <c r="K30" i="16" s="1"/>
  <c r="K32" i="16" s="1"/>
  <c r="P11" i="1"/>
  <c r="P10" i="1"/>
  <c r="P17" i="1"/>
  <c r="P28" i="10"/>
  <c r="N28" i="10" s="1"/>
  <c r="P31" i="10"/>
  <c r="P29" i="12"/>
  <c r="N29" i="12" s="1"/>
  <c r="P28" i="12"/>
  <c r="P27" i="12"/>
  <c r="N27" i="12" s="1"/>
  <c r="P26" i="12"/>
  <c r="N26" i="12" s="1"/>
  <c r="P25" i="12"/>
  <c r="N25" i="12" s="1"/>
  <c r="P24" i="12"/>
  <c r="N24" i="12" s="1"/>
  <c r="P23" i="12"/>
  <c r="N23" i="12" s="1"/>
  <c r="P22" i="12"/>
  <c r="N22" i="12" s="1"/>
  <c r="P21" i="12"/>
  <c r="N21" i="12" s="1"/>
  <c r="P15" i="12"/>
  <c r="N15" i="12" s="1"/>
  <c r="P14" i="12"/>
  <c r="N14" i="12" s="1"/>
  <c r="P13" i="12"/>
  <c r="N13" i="12" s="1"/>
  <c r="P12" i="12"/>
  <c r="P8" i="12"/>
  <c r="P29" i="11"/>
  <c r="P28" i="11"/>
  <c r="P27" i="11"/>
  <c r="P26" i="11"/>
  <c r="P25" i="11"/>
  <c r="P24" i="11"/>
  <c r="P23" i="11"/>
  <c r="P22" i="11"/>
  <c r="P21" i="11"/>
  <c r="P15" i="11"/>
  <c r="P14" i="11"/>
  <c r="N14" i="11" s="1"/>
  <c r="P13" i="11"/>
  <c r="N13" i="11" s="1"/>
  <c r="P12" i="11"/>
  <c r="P8" i="11"/>
  <c r="P27" i="10"/>
  <c r="N27" i="10" s="1"/>
  <c r="P26" i="10"/>
  <c r="N26" i="10" s="1"/>
  <c r="P25" i="10"/>
  <c r="N25" i="10" s="1"/>
  <c r="P24" i="10"/>
  <c r="N24" i="10" s="1"/>
  <c r="P23" i="10"/>
  <c r="P17" i="10"/>
  <c r="N17" i="10" s="1"/>
  <c r="P16" i="10"/>
  <c r="P12" i="10"/>
  <c r="P8" i="10"/>
  <c r="N16" i="7"/>
  <c r="P8" i="6"/>
  <c r="P15" i="6"/>
  <c r="P14" i="6"/>
  <c r="P13" i="6"/>
  <c r="P12" i="6"/>
  <c r="P29" i="6"/>
  <c r="P28" i="6"/>
  <c r="P27" i="6"/>
  <c r="P26" i="6"/>
  <c r="P25" i="6"/>
  <c r="P24" i="6"/>
  <c r="P23" i="6"/>
  <c r="P30" i="5"/>
  <c r="P13" i="5"/>
  <c r="P12" i="5"/>
  <c r="P43" i="5"/>
  <c r="P42" i="5"/>
  <c r="P41" i="5"/>
  <c r="P40" i="5"/>
  <c r="P39" i="5"/>
  <c r="P38" i="5"/>
  <c r="P37" i="5"/>
  <c r="P36" i="5"/>
  <c r="P35" i="5"/>
  <c r="P9" i="4"/>
  <c r="P28" i="13"/>
  <c r="P26" i="13"/>
  <c r="P25" i="13"/>
  <c r="P24" i="13"/>
  <c r="P23" i="13"/>
  <c r="P22" i="13"/>
  <c r="P21" i="13"/>
  <c r="P20" i="13"/>
  <c r="P12" i="13"/>
  <c r="R30" i="12"/>
  <c r="L30" i="12"/>
  <c r="H30" i="12"/>
  <c r="F30" i="12"/>
  <c r="R16" i="12"/>
  <c r="L16" i="12"/>
  <c r="H16" i="12"/>
  <c r="F16" i="12"/>
  <c r="R9" i="12"/>
  <c r="L9" i="12"/>
  <c r="J9" i="12"/>
  <c r="J34" i="12" s="1"/>
  <c r="J35" i="12" s="1"/>
  <c r="H9" i="12"/>
  <c r="F9" i="12"/>
  <c r="R30" i="11"/>
  <c r="L30" i="11"/>
  <c r="H30" i="11"/>
  <c r="F30" i="11"/>
  <c r="R16" i="11"/>
  <c r="L16" i="11"/>
  <c r="H16" i="11"/>
  <c r="F16" i="11"/>
  <c r="R9" i="11"/>
  <c r="L9" i="11"/>
  <c r="J9" i="11"/>
  <c r="J34" i="11" s="1"/>
  <c r="J35" i="11" s="1"/>
  <c r="H9" i="11"/>
  <c r="F9" i="11"/>
  <c r="R32" i="10"/>
  <c r="L32" i="10"/>
  <c r="H32" i="10"/>
  <c r="F32" i="10"/>
  <c r="R18" i="10"/>
  <c r="L18" i="10"/>
  <c r="H18" i="10"/>
  <c r="F18" i="10"/>
  <c r="R9" i="10"/>
  <c r="L9" i="10"/>
  <c r="L37" i="10" s="1"/>
  <c r="J9" i="10"/>
  <c r="J37" i="10" s="1"/>
  <c r="J38" i="10" s="1"/>
  <c r="H9" i="10"/>
  <c r="F9" i="10"/>
  <c r="I57" i="24"/>
  <c r="R30" i="7"/>
  <c r="L30" i="7"/>
  <c r="H30" i="7"/>
  <c r="F30" i="7"/>
  <c r="R16" i="7"/>
  <c r="L16" i="7"/>
  <c r="H16" i="7"/>
  <c r="F16" i="7"/>
  <c r="R9" i="7"/>
  <c r="L9" i="7"/>
  <c r="J9" i="7"/>
  <c r="J35" i="7" s="1"/>
  <c r="J36" i="7" s="1"/>
  <c r="H9" i="7"/>
  <c r="F9" i="7"/>
  <c r="R16" i="6"/>
  <c r="L16" i="6"/>
  <c r="H16" i="6"/>
  <c r="F16" i="6"/>
  <c r="R9" i="6"/>
  <c r="R35" i="6" s="1"/>
  <c r="L9" i="6"/>
  <c r="J9" i="6"/>
  <c r="J35" i="6" s="1"/>
  <c r="J37" i="6" s="1"/>
  <c r="H9" i="6"/>
  <c r="F9" i="6"/>
  <c r="R44" i="5"/>
  <c r="H44" i="5"/>
  <c r="F44" i="5"/>
  <c r="R9" i="5"/>
  <c r="P9" i="5"/>
  <c r="L9" i="5"/>
  <c r="L49" i="5" s="1"/>
  <c r="J9" i="5"/>
  <c r="H9" i="5"/>
  <c r="F9" i="5"/>
  <c r="R29" i="13"/>
  <c r="L29" i="13"/>
  <c r="J29" i="13"/>
  <c r="H29" i="13"/>
  <c r="F29" i="13"/>
  <c r="R15" i="13"/>
  <c r="L15" i="13"/>
  <c r="H15" i="13"/>
  <c r="F15" i="13"/>
  <c r="R9" i="13"/>
  <c r="L9" i="13"/>
  <c r="J9" i="13"/>
  <c r="H9" i="13"/>
  <c r="F9" i="13"/>
  <c r="Y15" i="1"/>
  <c r="R31" i="4"/>
  <c r="L31" i="4"/>
  <c r="H31" i="4"/>
  <c r="F31" i="4"/>
  <c r="R17" i="4"/>
  <c r="L17" i="4"/>
  <c r="H17" i="4"/>
  <c r="F17" i="4"/>
  <c r="R12" i="1"/>
  <c r="I8" i="24" s="1"/>
  <c r="L12" i="1"/>
  <c r="J12" i="1"/>
  <c r="H12" i="1"/>
  <c r="F12" i="1"/>
  <c r="R34" i="11" l="1"/>
  <c r="L34" i="11"/>
  <c r="L35" i="7"/>
  <c r="H37" i="4"/>
  <c r="R35" i="7"/>
  <c r="L35" i="6"/>
  <c r="N18" i="10"/>
  <c r="R37" i="10"/>
  <c r="N30" i="12"/>
  <c r="P44" i="5"/>
  <c r="R49" i="5"/>
  <c r="P9" i="12"/>
  <c r="N9" i="12"/>
  <c r="N16" i="12"/>
  <c r="N32" i="12" s="1"/>
  <c r="P9" i="11"/>
  <c r="N9" i="11"/>
  <c r="N16" i="11"/>
  <c r="N30" i="11"/>
  <c r="N32" i="10"/>
  <c r="P9" i="10"/>
  <c r="N9" i="10"/>
  <c r="N9" i="7"/>
  <c r="N30" i="7"/>
  <c r="N32" i="7" s="1"/>
  <c r="P9" i="6"/>
  <c r="N9" i="6"/>
  <c r="N16" i="6"/>
  <c r="N30" i="6"/>
  <c r="N15" i="5"/>
  <c r="N32" i="5" s="1"/>
  <c r="L34" i="13"/>
  <c r="P10" i="4"/>
  <c r="N10" i="4"/>
  <c r="L34" i="10"/>
  <c r="R37" i="4"/>
  <c r="N29" i="13"/>
  <c r="P9" i="13"/>
  <c r="N9" i="13"/>
  <c r="N15" i="13"/>
  <c r="P15" i="5"/>
  <c r="P32" i="5" s="1"/>
  <c r="Y26" i="1"/>
  <c r="R34" i="13"/>
  <c r="Y27" i="1"/>
  <c r="Y19" i="1"/>
  <c r="Y33" i="1"/>
  <c r="Y30" i="1"/>
  <c r="Y29" i="1"/>
  <c r="Y32" i="1"/>
  <c r="Y34" i="1"/>
  <c r="Y18" i="1"/>
  <c r="Y31" i="1"/>
  <c r="Y35" i="1"/>
  <c r="Y28" i="1"/>
  <c r="I51" i="24"/>
  <c r="H34" i="10"/>
  <c r="H37" i="10" s="1"/>
  <c r="H38" i="10" s="1"/>
  <c r="F37" i="4"/>
  <c r="I38" i="24"/>
  <c r="I20" i="24"/>
  <c r="R34" i="10"/>
  <c r="F34" i="10"/>
  <c r="F37" i="10" s="1"/>
  <c r="F38" i="10" s="1"/>
  <c r="I81" i="24"/>
  <c r="P30" i="6"/>
  <c r="H32" i="11"/>
  <c r="H34" i="11" s="1"/>
  <c r="H35" i="11" s="1"/>
  <c r="F32" i="11"/>
  <c r="F34" i="11" s="1"/>
  <c r="F35" i="11" s="1"/>
  <c r="F32" i="7"/>
  <c r="F35" i="7" s="1"/>
  <c r="F36" i="7" s="1"/>
  <c r="L31" i="13"/>
  <c r="J20" i="1"/>
  <c r="J22" i="1" s="1"/>
  <c r="F32" i="12"/>
  <c r="F34" i="12" s="1"/>
  <c r="F35" i="12" s="1"/>
  <c r="H32" i="12"/>
  <c r="H34" i="12" s="1"/>
  <c r="H35" i="12" s="1"/>
  <c r="L32" i="12"/>
  <c r="L34" i="12" s="1"/>
  <c r="L32" i="11"/>
  <c r="H32" i="7"/>
  <c r="H35" i="7" s="1"/>
  <c r="H36" i="7" s="1"/>
  <c r="L32" i="7"/>
  <c r="H32" i="6"/>
  <c r="H35" i="6" s="1"/>
  <c r="H37" i="6" s="1"/>
  <c r="L32" i="6"/>
  <c r="F32" i="6"/>
  <c r="F35" i="6" s="1"/>
  <c r="F37" i="6" s="1"/>
  <c r="R32" i="6"/>
  <c r="L46" i="5"/>
  <c r="H33" i="4"/>
  <c r="H38" i="4" s="1"/>
  <c r="L33" i="4"/>
  <c r="F33" i="4"/>
  <c r="F38" i="4" s="1"/>
  <c r="J19" i="4"/>
  <c r="F46" i="5"/>
  <c r="F49" i="5" s="1"/>
  <c r="F50" i="5" s="1"/>
  <c r="H46" i="5"/>
  <c r="H49" i="5" s="1"/>
  <c r="H50" i="5" s="1"/>
  <c r="R46" i="5"/>
  <c r="R32" i="12"/>
  <c r="R34" i="12" s="1"/>
  <c r="R32" i="11"/>
  <c r="I69" i="24"/>
  <c r="I63" i="24"/>
  <c r="R32" i="7"/>
  <c r="I45" i="24"/>
  <c r="R33" i="4"/>
  <c r="I32" i="24"/>
  <c r="J31" i="13"/>
  <c r="J34" i="13" s="1"/>
  <c r="J35" i="13" s="1"/>
  <c r="F31" i="13"/>
  <c r="F34" i="13" s="1"/>
  <c r="F35" i="13" s="1"/>
  <c r="H31" i="13"/>
  <c r="H35" i="13" s="1"/>
  <c r="R31" i="13"/>
  <c r="P19" i="1"/>
  <c r="P12" i="1"/>
  <c r="H18" i="11"/>
  <c r="P18" i="1"/>
  <c r="H20" i="10"/>
  <c r="P29" i="1"/>
  <c r="P28" i="1"/>
  <c r="H18" i="12"/>
  <c r="P17" i="4"/>
  <c r="P32" i="1"/>
  <c r="P30" i="1"/>
  <c r="P31" i="1"/>
  <c r="H18" i="6"/>
  <c r="P27" i="1"/>
  <c r="F18" i="11"/>
  <c r="P34" i="1"/>
  <c r="L18" i="11"/>
  <c r="P33" i="1"/>
  <c r="R18" i="11"/>
  <c r="R18" i="6"/>
  <c r="R19" i="4"/>
  <c r="R17" i="13"/>
  <c r="P15" i="13"/>
  <c r="H20" i="1"/>
  <c r="F17" i="13"/>
  <c r="L18" i="12"/>
  <c r="J18" i="7"/>
  <c r="P29" i="13"/>
  <c r="P16" i="11"/>
  <c r="L19" i="4"/>
  <c r="F18" i="6"/>
  <c r="F18" i="7"/>
  <c r="P31" i="4"/>
  <c r="P16" i="6"/>
  <c r="P18" i="10"/>
  <c r="P30" i="11"/>
  <c r="R18" i="7"/>
  <c r="P32" i="10"/>
  <c r="R20" i="10"/>
  <c r="P30" i="12"/>
  <c r="P16" i="12"/>
  <c r="R18" i="12"/>
  <c r="L20" i="10"/>
  <c r="L18" i="7"/>
  <c r="L18" i="6"/>
  <c r="L17" i="13"/>
  <c r="J17" i="13"/>
  <c r="J44" i="5"/>
  <c r="J46" i="5" s="1"/>
  <c r="J49" i="5" s="1"/>
  <c r="J50" i="5" s="1"/>
  <c r="J18" i="12"/>
  <c r="F18" i="12"/>
  <c r="J18" i="11"/>
  <c r="J20" i="10"/>
  <c r="F20" i="10"/>
  <c r="H18" i="7"/>
  <c r="J18" i="6"/>
  <c r="H19" i="4"/>
  <c r="F19" i="4"/>
  <c r="H17" i="13"/>
  <c r="F20" i="1"/>
  <c r="N34" i="12" l="1"/>
  <c r="N34" i="10"/>
  <c r="P35" i="7"/>
  <c r="P36" i="7" s="1"/>
  <c r="N35" i="6"/>
  <c r="N35" i="5"/>
  <c r="N36" i="5"/>
  <c r="N42" i="5"/>
  <c r="N40" i="5"/>
  <c r="N38" i="5"/>
  <c r="N41" i="5"/>
  <c r="N39" i="5"/>
  <c r="N37" i="5"/>
  <c r="N35" i="7"/>
  <c r="N32" i="6"/>
  <c r="N18" i="12"/>
  <c r="N32" i="11"/>
  <c r="N18" i="11"/>
  <c r="N34" i="11"/>
  <c r="N20" i="10"/>
  <c r="N37" i="10"/>
  <c r="N18" i="7"/>
  <c r="N19" i="4"/>
  <c r="N37" i="4"/>
  <c r="N18" i="6"/>
  <c r="N34" i="13"/>
  <c r="L38" i="10"/>
  <c r="L40" i="10" s="1"/>
  <c r="N17" i="13"/>
  <c r="N31" i="13"/>
  <c r="Y36" i="1"/>
  <c r="Y39" i="1"/>
  <c r="Y40" i="1" s="1"/>
  <c r="Y16" i="1"/>
  <c r="Y20" i="1" s="1"/>
  <c r="L35" i="12"/>
  <c r="L37" i="12" s="1"/>
  <c r="L36" i="7"/>
  <c r="L38" i="7" s="1"/>
  <c r="L35" i="11"/>
  <c r="L37" i="11" s="1"/>
  <c r="L50" i="5"/>
  <c r="L52" i="5" s="1"/>
  <c r="L37" i="6"/>
  <c r="L39" i="6" s="1"/>
  <c r="L37" i="4"/>
  <c r="P37" i="4" s="1"/>
  <c r="L35" i="13"/>
  <c r="L37" i="13" s="1"/>
  <c r="P20" i="10"/>
  <c r="P34" i="10"/>
  <c r="H22" i="1"/>
  <c r="F22" i="1"/>
  <c r="R35" i="13"/>
  <c r="P34" i="13"/>
  <c r="P18" i="12"/>
  <c r="P32" i="12"/>
  <c r="P34" i="12"/>
  <c r="R35" i="12"/>
  <c r="R37" i="12" s="1"/>
  <c r="P18" i="11"/>
  <c r="P32" i="11"/>
  <c r="P34" i="11"/>
  <c r="R35" i="11"/>
  <c r="P37" i="10"/>
  <c r="R38" i="10"/>
  <c r="R36" i="7"/>
  <c r="R38" i="7" s="1"/>
  <c r="P18" i="6"/>
  <c r="P32" i="6"/>
  <c r="P35" i="6"/>
  <c r="R37" i="6"/>
  <c r="P46" i="5"/>
  <c r="P49" i="5"/>
  <c r="R50" i="5"/>
  <c r="R52" i="5" s="1"/>
  <c r="P19" i="4"/>
  <c r="P33" i="4"/>
  <c r="P36" i="4"/>
  <c r="R38" i="4"/>
  <c r="R40" i="4" s="1"/>
  <c r="P17" i="13"/>
  <c r="P31" i="13"/>
  <c r="R20" i="1"/>
  <c r="R43" i="1" s="1"/>
  <c r="P15" i="1"/>
  <c r="P16" i="1"/>
  <c r="L20" i="1"/>
  <c r="H36" i="1"/>
  <c r="H43" i="1" s="1"/>
  <c r="J36" i="1"/>
  <c r="J43" i="1" s="1"/>
  <c r="F36" i="1"/>
  <c r="F43" i="1" s="1"/>
  <c r="P26" i="1"/>
  <c r="R36" i="1"/>
  <c r="R37" i="1" s="1"/>
  <c r="L36" i="1"/>
  <c r="L37" i="1" s="1"/>
  <c r="N44" i="5" l="1"/>
  <c r="R21" i="1"/>
  <c r="R47" i="1"/>
  <c r="N38" i="4"/>
  <c r="P35" i="12"/>
  <c r="N35" i="12"/>
  <c r="P35" i="11"/>
  <c r="N35" i="11"/>
  <c r="P38" i="10"/>
  <c r="N38" i="10"/>
  <c r="N36" i="7"/>
  <c r="P37" i="6"/>
  <c r="N37" i="6"/>
  <c r="P50" i="5"/>
  <c r="P35" i="13"/>
  <c r="N35" i="13"/>
  <c r="R37" i="11"/>
  <c r="I71" i="24"/>
  <c r="R37" i="13"/>
  <c r="I22" i="24"/>
  <c r="K23" i="24" s="1"/>
  <c r="R39" i="6"/>
  <c r="R40" i="10"/>
  <c r="I34" i="24"/>
  <c r="K35" i="24" s="1"/>
  <c r="P38" i="4"/>
  <c r="L38" i="4"/>
  <c r="L40" i="4" s="1"/>
  <c r="K84" i="24"/>
  <c r="H47" i="1"/>
  <c r="H48" i="1" s="1"/>
  <c r="F47" i="1"/>
  <c r="F48" i="1" s="1"/>
  <c r="J47" i="1"/>
  <c r="L22" i="1"/>
  <c r="L23" i="1" s="1"/>
  <c r="L43" i="1"/>
  <c r="L47" i="1" s="1"/>
  <c r="L48" i="1" s="1"/>
  <c r="L52" i="1" s="1"/>
  <c r="L53" i="1" s="1"/>
  <c r="R22" i="1"/>
  <c r="I65" i="24"/>
  <c r="K66" i="24" s="1"/>
  <c r="I59" i="24"/>
  <c r="K60" i="24" s="1"/>
  <c r="I53" i="24"/>
  <c r="K54" i="24" s="1"/>
  <c r="I47" i="24"/>
  <c r="K48" i="24" s="1"/>
  <c r="I40" i="24"/>
  <c r="K41" i="24" s="1"/>
  <c r="P20" i="1"/>
  <c r="P36" i="1"/>
  <c r="N49" i="5" l="1"/>
  <c r="N50" i="5" s="1"/>
  <c r="N46" i="5"/>
  <c r="P47" i="1"/>
  <c r="Y22" i="1"/>
  <c r="R23" i="1"/>
  <c r="J48" i="1"/>
  <c r="N12" i="1"/>
  <c r="K72" i="24"/>
  <c r="R48" i="1"/>
  <c r="P22" i="1"/>
  <c r="P43" i="1"/>
  <c r="I10" i="24" l="1"/>
  <c r="K12" i="24" s="1"/>
  <c r="R50" i="1"/>
  <c r="R52" i="1" s="1"/>
  <c r="R53" i="1" s="1"/>
  <c r="N22" i="1"/>
  <c r="N23" i="1" s="1"/>
  <c r="N47" i="1"/>
  <c r="N48" i="1" s="1"/>
  <c r="N50" i="1" s="1"/>
  <c r="P48" i="1"/>
  <c r="P50" i="1" s="1"/>
  <c r="Y43" i="1" l="1"/>
  <c r="AE4" i="72" l="1"/>
  <c r="AE4" i="70"/>
  <c r="AE23" i="70"/>
  <c r="AE4" i="69"/>
  <c r="AE23" i="69"/>
  <c r="AE4" i="11"/>
  <c r="AE23" i="11"/>
  <c r="AE4" i="12" s="1"/>
  <c r="AE4" i="10"/>
  <c r="AE4" i="8"/>
  <c r="AE3" i="5"/>
  <c r="AE4" i="6"/>
  <c r="AE4" i="7"/>
  <c r="AE4" i="57"/>
  <c r="AE18" i="57"/>
  <c r="AE26" i="5"/>
  <c r="AE4" i="13"/>
  <c r="AE26" i="4"/>
  <c r="AE4" i="4"/>
  <c r="AE18" i="13"/>
  <c r="R5" i="57"/>
  <c r="R6" i="57"/>
  <c r="AG4" i="72" l="1"/>
  <c r="AG23" i="70"/>
  <c r="AG4" i="69"/>
  <c r="AG23" i="69"/>
  <c r="AG4" i="70"/>
  <c r="AF4" i="72"/>
  <c r="AF23" i="70"/>
  <c r="AF4" i="69"/>
  <c r="AF23" i="69"/>
  <c r="AF4" i="70"/>
  <c r="AH4" i="72"/>
  <c r="AH4" i="69"/>
  <c r="AH23" i="69"/>
  <c r="AH4" i="70"/>
  <c r="AH23" i="70"/>
  <c r="AF4" i="11"/>
  <c r="AH4" i="11"/>
  <c r="AG4" i="11"/>
  <c r="AG23" i="11"/>
  <c r="AG4" i="12" s="1"/>
  <c r="AG4" i="10"/>
  <c r="AG4" i="8"/>
  <c r="AG4" i="6"/>
  <c r="AG4" i="7"/>
  <c r="AG3" i="5"/>
  <c r="AG4" i="13"/>
  <c r="AG4" i="4"/>
  <c r="AG18" i="13"/>
  <c r="AG26" i="4"/>
  <c r="AG26" i="5"/>
  <c r="AG4" i="57"/>
  <c r="AG18" i="57"/>
  <c r="AF23" i="11"/>
  <c r="AF4" i="12" s="1"/>
  <c r="AF4" i="10"/>
  <c r="AF4" i="8"/>
  <c r="AF4" i="6"/>
  <c r="AF3" i="5"/>
  <c r="AF4" i="7"/>
  <c r="AF18" i="57"/>
  <c r="AF4" i="13"/>
  <c r="AF4" i="57"/>
  <c r="AF4" i="4"/>
  <c r="AF18" i="13"/>
  <c r="AF26" i="4"/>
  <c r="AF26" i="5"/>
  <c r="AH23" i="11"/>
  <c r="AH4" i="12" s="1"/>
  <c r="AH4" i="10"/>
  <c r="AH4" i="8"/>
  <c r="AH4" i="7"/>
  <c r="AH26" i="4"/>
  <c r="AH18" i="57"/>
  <c r="AH18" i="13"/>
  <c r="AH4" i="6"/>
  <c r="AH3" i="5"/>
  <c r="AH4" i="57"/>
  <c r="AH4" i="13"/>
  <c r="AH26" i="5"/>
  <c r="AH4" i="4"/>
</calcChain>
</file>

<file path=xl/sharedStrings.xml><?xml version="1.0" encoding="utf-8"?>
<sst xmlns="http://schemas.openxmlformats.org/spreadsheetml/2006/main" count="2723" uniqueCount="526">
  <si>
    <t>Table of Contents</t>
  </si>
  <si>
    <t>….................................................................</t>
  </si>
  <si>
    <t>II.</t>
  </si>
  <si>
    <t>Financial Section</t>
  </si>
  <si>
    <t>…..................................</t>
  </si>
  <si>
    <t>…...................................</t>
  </si>
  <si>
    <t>…......................................................</t>
  </si>
  <si>
    <t>Budget Development Assumptions</t>
  </si>
  <si>
    <t>Revenue-Based Assumptions</t>
  </si>
  <si>
    <t>October FTE Pupil Count</t>
  </si>
  <si>
    <t>Post-Negative Factor Per-Pupil Funding</t>
  </si>
  <si>
    <t>Total Program Funding</t>
  </si>
  <si>
    <t>Budget Stabilization Factor</t>
  </si>
  <si>
    <t>Net Assessed Valuation</t>
  </si>
  <si>
    <t>General Fund</t>
  </si>
  <si>
    <t>Abatement Levy</t>
  </si>
  <si>
    <t>Bond Fund</t>
  </si>
  <si>
    <t>Mill Levy Override Fund</t>
  </si>
  <si>
    <t>Total Mill Levy</t>
  </si>
  <si>
    <t>Expenditure-Based Assumptions</t>
  </si>
  <si>
    <t>District Contribution Family Insurance Premium</t>
  </si>
  <si>
    <t>Employer PERA Contribution</t>
  </si>
  <si>
    <t>Medicare Employer Contribution</t>
  </si>
  <si>
    <t>Debt-Based Assumptions</t>
  </si>
  <si>
    <t>Gross Debt Capacity @ 20%</t>
  </si>
  <si>
    <t>Remaining Debt Capacity</t>
  </si>
  <si>
    <t>General Fund Beginning Fund Balance</t>
  </si>
  <si>
    <t>Insurance Reserve Fund Beginning Fund Balance</t>
  </si>
  <si>
    <t>Actuals</t>
  </si>
  <si>
    <t>Beginning Fund Balance</t>
  </si>
  <si>
    <t>Other Fund Balance</t>
  </si>
  <si>
    <t>Total Beginning Fund Balance</t>
  </si>
  <si>
    <t>Revenues</t>
  </si>
  <si>
    <t>Local Revenue</t>
  </si>
  <si>
    <t>Intermediate Revenue</t>
  </si>
  <si>
    <t>State Revenue</t>
  </si>
  <si>
    <t>Federal Revenue</t>
  </si>
  <si>
    <t>Total Revenues</t>
  </si>
  <si>
    <t>Total Resources Available</t>
  </si>
  <si>
    <t>Expenditures</t>
  </si>
  <si>
    <t>Instructional Services</t>
  </si>
  <si>
    <t>Pupil Services</t>
  </si>
  <si>
    <t>Instr. Staff Support</t>
  </si>
  <si>
    <t>General Administration</t>
  </si>
  <si>
    <t>School Administration</t>
  </si>
  <si>
    <t>Business Services</t>
  </si>
  <si>
    <t>Maintenance &amp; Operations</t>
  </si>
  <si>
    <t>Transportation Services</t>
  </si>
  <si>
    <t>Central Services</t>
  </si>
  <si>
    <t>Other Services</t>
  </si>
  <si>
    <t>Total Expenditures</t>
  </si>
  <si>
    <t>Other Financing Uses</t>
  </si>
  <si>
    <t>Total Other Financing Uses</t>
  </si>
  <si>
    <t>Fund Balances</t>
  </si>
  <si>
    <t>Restricted - TABOR</t>
  </si>
  <si>
    <t>Total Fund Balance</t>
  </si>
  <si>
    <t>N/A</t>
  </si>
  <si>
    <t>Specific Ownership Taxes</t>
  </si>
  <si>
    <t>Delinquent Taxes &amp; Interest</t>
  </si>
  <si>
    <t>Tuition</t>
  </si>
  <si>
    <t>Salaries</t>
  </si>
  <si>
    <t>Employee Benefits</t>
  </si>
  <si>
    <t>Professional Services</t>
  </si>
  <si>
    <t>Property Services</t>
  </si>
  <si>
    <t>Supplies &amp; Materials</t>
  </si>
  <si>
    <t>Equipment</t>
  </si>
  <si>
    <t>Other Objects</t>
  </si>
  <si>
    <t>Other Uses</t>
  </si>
  <si>
    <t>Other Revenue</t>
  </si>
  <si>
    <t>Title VIb (Special Education)</t>
  </si>
  <si>
    <t>General Fund Allocation</t>
  </si>
  <si>
    <t>Administrators</t>
  </si>
  <si>
    <t>Title I</t>
  </si>
  <si>
    <t>IDEA Preschool</t>
  </si>
  <si>
    <t>Title IIA</t>
  </si>
  <si>
    <t>Title IIIA</t>
  </si>
  <si>
    <t>Perkins</t>
  </si>
  <si>
    <t>Title IVA</t>
  </si>
  <si>
    <t>FY 22-23</t>
  </si>
  <si>
    <t>Staff FTE:</t>
  </si>
  <si>
    <t>Teachers (Licensed)</t>
  </si>
  <si>
    <t>Non-Teaching Professionals</t>
  </si>
  <si>
    <t>Classified - Instructional</t>
  </si>
  <si>
    <t>Classified - Maint, Oper &amp; Trans</t>
  </si>
  <si>
    <t>Total FTE</t>
  </si>
  <si>
    <t>Classified - School Admin</t>
  </si>
  <si>
    <t>Total</t>
  </si>
  <si>
    <t>….................................</t>
  </si>
  <si>
    <t>Uniform Budget Summary</t>
  </si>
  <si>
    <t>10
General Fund</t>
  </si>
  <si>
    <t>07
Total Program Reserve Fund</t>
  </si>
  <si>
    <t>24
Full-Day Kindergarten Mill Levy Override</t>
  </si>
  <si>
    <t>41
Building Fund</t>
  </si>
  <si>
    <t>TOTAL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</si>
  <si>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</si>
  <si>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</si>
  <si>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</si>
  <si>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</si>
  <si>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</si>
  <si>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</si>
  <si>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</si>
  <si>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</si>
  <si>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</si>
  <si>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</si>
  <si>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</si>
  <si>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</si>
  <si>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</si>
  <si>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</si>
  <si>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0100</t>
  </si>
  <si>
    <t>0200</t>
  </si>
  <si>
    <t>Purchased Services</t>
  </si>
  <si>
    <t>0300,0400, 0500</t>
  </si>
  <si>
    <t>0600</t>
  </si>
  <si>
    <t>0700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</si>
  <si>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</si>
  <si>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</si>
  <si>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</si>
  <si>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</si>
  <si>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</si>
  <si>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</si>
  <si>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</si>
  <si>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</si>
  <si>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</si>
  <si>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Enterprise Operations - Program 3200</t>
  </si>
  <si>
    <t>Community Services - Program 3300</t>
  </si>
  <si>
    <t>Education for Adults - Program 3400</t>
  </si>
  <si>
    <t>Property - Program 4000</t>
  </si>
  <si>
    <t>0840</t>
  </si>
  <si>
    <t>BUDGETED ENDING FUND BALANCE</t>
  </si>
  <si>
    <t>6710</t>
  </si>
  <si>
    <t>6720</t>
  </si>
  <si>
    <t>6721</t>
  </si>
  <si>
    <t>6722</t>
  </si>
  <si>
    <t>6724</t>
  </si>
  <si>
    <t>6750</t>
  </si>
  <si>
    <t>6760</t>
  </si>
  <si>
    <t>6770</t>
  </si>
  <si>
    <t>Total Ending Fund Balance</t>
  </si>
  <si>
    <t>Position</t>
  </si>
  <si>
    <t>Loc</t>
  </si>
  <si>
    <t>FTE</t>
  </si>
  <si>
    <t>Step</t>
  </si>
  <si>
    <t>Level</t>
  </si>
  <si>
    <t>Salary</t>
  </si>
  <si>
    <t>Fund</t>
  </si>
  <si>
    <t>SRE</t>
  </si>
  <si>
    <t>Prog</t>
  </si>
  <si>
    <t>Obj</t>
  </si>
  <si>
    <t>Job</t>
  </si>
  <si>
    <t>Grant</t>
  </si>
  <si>
    <t>EE Category</t>
  </si>
  <si>
    <t>Preschool Expenditures</t>
  </si>
  <si>
    <t>Equipment &amp; Technology</t>
  </si>
  <si>
    <t>Other Purch Svcs</t>
  </si>
  <si>
    <t>Budget</t>
  </si>
  <si>
    <t>Allocations From General Fund</t>
  </si>
  <si>
    <t>Other Local Revenue</t>
  </si>
  <si>
    <t>Insurance Claim Revenue</t>
  </si>
  <si>
    <t>Local Property Taxes</t>
  </si>
  <si>
    <t>Allocation from General Fund</t>
  </si>
  <si>
    <t>Allocations from General Fund</t>
  </si>
  <si>
    <t>Pera/Med</t>
  </si>
  <si>
    <t>Insurances</t>
  </si>
  <si>
    <t>General Obligation Principal Outstanding as of Year-End</t>
  </si>
  <si>
    <t>Unrestricted Fund Balance as a % of Oper Budget = Fund Balance/Total Exp)</t>
  </si>
  <si>
    <t>Asset Sufficiency Ratio (ASR)  = (GF Assets/GF Liabilities)</t>
  </si>
  <si>
    <t>Debt Burden Ratio (DBR) = (GF Revenue/Total Debt Pymts)</t>
  </si>
  <si>
    <t>Operating Reserve Ratio (ORR) = (GF Fund Balance/GF Expenditures)</t>
  </si>
  <si>
    <t>Operating Margin Ratio (OMR) = (GF Revenue - GF Expenditures/GF Revenue)</t>
  </si>
  <si>
    <t>Deficit Fund Balance Ratio (DFBR) = (Chg in Fund Balance/Total Revenue)</t>
  </si>
  <si>
    <t>Change in Fund Balance Ratio (CFBR) = (Chg in Fund Balance/PY Fund Balance)</t>
  </si>
  <si>
    <t>Don't Enter Data in this Section!</t>
  </si>
  <si>
    <t>FY 23-24</t>
  </si>
  <si>
    <t>Detailed Account Code Budget Data</t>
  </si>
  <si>
    <t>Program</t>
  </si>
  <si>
    <t>Object</t>
  </si>
  <si>
    <t>Additional Lease Certification of Participation Debt</t>
  </si>
  <si>
    <r>
      <t>Revenue &amp; Expense Budget Mismatch (Surplus/</t>
    </r>
    <r>
      <rPr>
        <sz val="11"/>
        <color rgb="FFFF0000"/>
        <rFont val="Calibri"/>
        <family val="2"/>
        <scheme val="minor"/>
      </rPr>
      <t>Deficit</t>
    </r>
    <r>
      <rPr>
        <sz val="11"/>
        <color theme="1"/>
        <rFont val="Calibri"/>
        <family val="2"/>
        <scheme val="minor"/>
      </rPr>
      <t>)</t>
    </r>
  </si>
  <si>
    <t>Insurance Reserve Fund Ending Fund Balance</t>
  </si>
  <si>
    <t>Preschool Fund Beginning Fund Balance</t>
  </si>
  <si>
    <t>Preschool Fund Ending Fund Balance</t>
  </si>
  <si>
    <t>Food Service Fund Beginning Fund Balance</t>
  </si>
  <si>
    <t>Food Service  Fund Ending Fund Balance</t>
  </si>
  <si>
    <t>DPGF Fund Beginning Fund Balance</t>
  </si>
  <si>
    <t>DPGF  Fund Ending Fund Balance</t>
  </si>
  <si>
    <t>Activity Fund Beginning Fund Balance</t>
  </si>
  <si>
    <t>Activity Fund Ending Fund Balance</t>
  </si>
  <si>
    <t>Bond Redemption Fund Beginning Fund Balance</t>
  </si>
  <si>
    <t>Bond Redemption Fund Ending Fund Balance</t>
  </si>
  <si>
    <t>Capital Reserve Fund Beginning Fund Balance</t>
  </si>
  <si>
    <t>Capital Reserve Fund Ending Fund Balance</t>
  </si>
  <si>
    <t>Trust Fund Beginning Fund Balance</t>
  </si>
  <si>
    <t>Trust Fund Ending Fund Balance</t>
  </si>
  <si>
    <r>
      <t>Surplus/</t>
    </r>
    <r>
      <rPr>
        <b/>
        <sz val="11"/>
        <color rgb="FFFF0000"/>
        <rFont val="Calibri"/>
        <family val="2"/>
        <scheme val="minor"/>
      </rPr>
      <t>(Deficit)</t>
    </r>
  </si>
  <si>
    <t>All Other Fund Balance</t>
  </si>
  <si>
    <t>01XX</t>
  </si>
  <si>
    <t>02XX</t>
  </si>
  <si>
    <t>03XX</t>
  </si>
  <si>
    <t>04XX</t>
  </si>
  <si>
    <t>05XX</t>
  </si>
  <si>
    <t>06XX</t>
  </si>
  <si>
    <t>07XX</t>
  </si>
  <si>
    <t>08XX</t>
  </si>
  <si>
    <t>09XX</t>
  </si>
  <si>
    <t>011X</t>
  </si>
  <si>
    <t>1XX</t>
  </si>
  <si>
    <t>2XX</t>
  </si>
  <si>
    <t>3XX</t>
  </si>
  <si>
    <t>4XX</t>
  </si>
  <si>
    <t>5XX</t>
  </si>
  <si>
    <t>6XX</t>
  </si>
  <si>
    <t>Fund Balance</t>
  </si>
  <si>
    <t>Total  Ending Fund Balance</t>
  </si>
  <si>
    <t>General Fund Ending Fund Balance</t>
  </si>
  <si>
    <t>Identified Non-Recurring Uses/Expenses of Fund Balance:</t>
  </si>
  <si>
    <t>Item 1</t>
  </si>
  <si>
    <t>Item 2</t>
  </si>
  <si>
    <t>Item 3</t>
  </si>
  <si>
    <t>Fund Balance Change</t>
  </si>
  <si>
    <t>Property Tax Mill Levy Components:</t>
  </si>
  <si>
    <t>School Ratio Analysis (optional)</t>
  </si>
  <si>
    <t>Temp Salaries</t>
  </si>
  <si>
    <t>Purch Property Services</t>
  </si>
  <si>
    <t>Other &amp; Indirect Expenses</t>
  </si>
  <si>
    <t>Other Uses/Contingency</t>
  </si>
  <si>
    <t>Total State Revenue</t>
  </si>
  <si>
    <t>Total Federal Funds</t>
  </si>
  <si>
    <t>Other Federal Grants</t>
  </si>
  <si>
    <t>NEED TO FILL IN MANUALLY</t>
  </si>
  <si>
    <t>Account Name</t>
  </si>
  <si>
    <t>Transfers/Allocations</t>
  </si>
  <si>
    <t>Text</t>
  </si>
  <si>
    <t>Number</t>
  </si>
  <si>
    <t>Cell format</t>
  </si>
  <si>
    <t>WORKSHEET Area- Do not Print</t>
  </si>
  <si>
    <t>Location</t>
  </si>
  <si>
    <t>Formula Column</t>
  </si>
  <si>
    <t>Total Compensation</t>
  </si>
  <si>
    <t>Pulled from Budget Assumptions sheet Cells K23 &amp; K24</t>
  </si>
  <si>
    <t>Totals</t>
  </si>
  <si>
    <t xml:space="preserve">Fund Balance Change Calculation Worksheet </t>
  </si>
  <si>
    <t>Item 1-X  need to be identified</t>
  </si>
  <si>
    <t>Item 1 need to be identified</t>
  </si>
  <si>
    <t>5100-0830</t>
  </si>
  <si>
    <t>Debt Service/Interest</t>
  </si>
  <si>
    <t>5100-0910</t>
  </si>
  <si>
    <t>1XXX</t>
  </si>
  <si>
    <t>3XXX</t>
  </si>
  <si>
    <t>4XXX</t>
  </si>
  <si>
    <t>Transfers From General Fund</t>
  </si>
  <si>
    <t>Specific Ownership (if Applicable)</t>
  </si>
  <si>
    <t>Abatement</t>
  </si>
  <si>
    <t>Interest Income</t>
  </si>
  <si>
    <t>Other Local</t>
  </si>
  <si>
    <t>Transfers</t>
  </si>
  <si>
    <t>Insurance Reserve Fund (18)</t>
  </si>
  <si>
    <t>Food Service Fund (21)</t>
  </si>
  <si>
    <t>Designated Purpose Grants Fund (22)</t>
  </si>
  <si>
    <t>Pupil Activity Fund (23)</t>
  </si>
  <si>
    <t>Bond Redemption Fund (31)</t>
  </si>
  <si>
    <t>Capital Reserve Fund (43)</t>
  </si>
  <si>
    <t>CPP Reserve</t>
  </si>
  <si>
    <t>Assigned Fund Balance</t>
  </si>
  <si>
    <t>Unspendable (Inventory)</t>
  </si>
  <si>
    <t>Restricted Fund Balance</t>
  </si>
  <si>
    <t>Ending Fund Balances</t>
  </si>
  <si>
    <t>III.</t>
  </si>
  <si>
    <t>PAYROLL ACCOUNTS</t>
  </si>
  <si>
    <t>Total Appropriation( Ending Fund Balance + Expense)</t>
  </si>
  <si>
    <t>Less:</t>
  </si>
  <si>
    <t>Recurring</t>
  </si>
  <si>
    <t>Non-Recurring</t>
  </si>
  <si>
    <t>PAYROLL ACCOUNTS Object Codes 01XX &amp; 02XX</t>
  </si>
  <si>
    <t>NON PAYROLL ACCOUNTS-OBJECT CODES 03XX-09XX</t>
  </si>
  <si>
    <t>FY 2024/25</t>
  </si>
  <si>
    <t>Forecast</t>
  </si>
  <si>
    <t>000</t>
  </si>
  <si>
    <t>00</t>
  </si>
  <si>
    <t>0000</t>
  </si>
  <si>
    <t>1110</t>
  </si>
  <si>
    <t>4000</t>
  </si>
  <si>
    <t>3000</t>
  </si>
  <si>
    <t>3010</t>
  </si>
  <si>
    <t>District Share Benefits</t>
  </si>
  <si>
    <t>UPK Reserve</t>
  </si>
  <si>
    <t>Detailed EXPENSE Account Code Budget Data</t>
  </si>
  <si>
    <t>Detailed Salary And Benefit EXPENSE Account Code Budget Data</t>
  </si>
  <si>
    <t>Detailed REVENUE Account Code Budget Data</t>
  </si>
  <si>
    <t>1985</t>
  </si>
  <si>
    <t>1990</t>
  </si>
  <si>
    <t>5210</t>
  </si>
  <si>
    <t>18</t>
  </si>
  <si>
    <t>800</t>
  </si>
  <si>
    <t>2620</t>
  </si>
  <si>
    <t>0522</t>
  </si>
  <si>
    <t>2850</t>
  </si>
  <si>
    <t>0525</t>
  </si>
  <si>
    <t>Unemployment</t>
  </si>
  <si>
    <t>Workers' Comp Insurance</t>
  </si>
  <si>
    <t xml:space="preserve">Tabor 3% Emergency </t>
  </si>
  <si>
    <t>All other Fund Balance</t>
  </si>
  <si>
    <t>BUDGET Account Code for GL System</t>
  </si>
  <si>
    <t>9926</t>
  </si>
  <si>
    <t>Formula Driven DO NOT INPUT</t>
  </si>
  <si>
    <t>Total 05XX</t>
  </si>
  <si>
    <t>2700</t>
  </si>
  <si>
    <t>0523</t>
  </si>
  <si>
    <t>Vehicle Insurance</t>
  </si>
  <si>
    <t>Property/liability Insurance</t>
  </si>
  <si>
    <t>Transport Workers' Comp Insurance</t>
  </si>
  <si>
    <t>19</t>
  </si>
  <si>
    <t>3897</t>
  </si>
  <si>
    <t>UPK Revenue</t>
  </si>
  <si>
    <t>1324</t>
  </si>
  <si>
    <t>1510</t>
  </si>
  <si>
    <t>Misc. Revenue</t>
  </si>
  <si>
    <t>9925</t>
  </si>
  <si>
    <t>CPP Reserve- Should be Adjusted by Revenue Less Expenses amount</t>
  </si>
  <si>
    <t>9924</t>
  </si>
  <si>
    <t>UPK Reserve- Should be Adjusted by Revenue Less Expenses amount</t>
  </si>
  <si>
    <t>Unassigned after CPP &amp; UPK are Adjusted</t>
  </si>
  <si>
    <t>3010-3897</t>
  </si>
  <si>
    <t>Catergoricals Should be Booked in Fund 10</t>
  </si>
  <si>
    <t>Strongly Suggest Using Fund 10 for Local Grants</t>
  </si>
  <si>
    <t>Interest revenue</t>
  </si>
  <si>
    <t>Student Breakfast Sales</t>
  </si>
  <si>
    <t>Student Lunch Sales</t>
  </si>
  <si>
    <t>Adult Lunches</t>
  </si>
  <si>
    <t>Ala Carte Items</t>
  </si>
  <si>
    <t>Catering Revenue</t>
  </si>
  <si>
    <t>Vending Machine Revenue</t>
  </si>
  <si>
    <t>USDA Commodities</t>
  </si>
  <si>
    <t>Transfer from General Fund</t>
  </si>
  <si>
    <t>21</t>
  </si>
  <si>
    <t>1611</t>
  </si>
  <si>
    <t>4553</t>
  </si>
  <si>
    <t>4555</t>
  </si>
  <si>
    <t>1621</t>
  </si>
  <si>
    <t>1625</t>
  </si>
  <si>
    <t>1627</t>
  </si>
  <si>
    <t>1630</t>
  </si>
  <si>
    <t>3161</t>
  </si>
  <si>
    <t>Healthy School Meals for All - Lunch</t>
  </si>
  <si>
    <t>3162</t>
  </si>
  <si>
    <t>3163</t>
  </si>
  <si>
    <t>3164</t>
  </si>
  <si>
    <t>Start Smart Nutrition</t>
  </si>
  <si>
    <t>Healthy School Meals for All - Brkfst</t>
  </si>
  <si>
    <t>School Lunch State Match</t>
  </si>
  <si>
    <t>Child Nutrition School Lunch</t>
  </si>
  <si>
    <t>3169</t>
  </si>
  <si>
    <t>Federal School Lunch Program</t>
  </si>
  <si>
    <t>Summer Food Distribution</t>
  </si>
  <si>
    <t>4010</t>
  </si>
  <si>
    <t>4559</t>
  </si>
  <si>
    <t>Approriation Per Pupil</t>
  </si>
  <si>
    <t>9900</t>
  </si>
  <si>
    <t>Total FB, both categories combined</t>
  </si>
  <si>
    <t>22</t>
  </si>
  <si>
    <t>State Grants</t>
  </si>
  <si>
    <t>10-800-00-9321-0840-000-0000</t>
  </si>
  <si>
    <t>10-800-00-9900-0840-000-0000</t>
  </si>
  <si>
    <t>Revenue Per Pupil</t>
  </si>
  <si>
    <t>Expenditure Per Pupil</t>
  </si>
  <si>
    <t>Restricted, Assigned, or Committed, check Audit</t>
  </si>
  <si>
    <t>23</t>
  </si>
  <si>
    <t>XX</t>
  </si>
  <si>
    <t>31</t>
  </si>
  <si>
    <t>Restricted</t>
  </si>
  <si>
    <t>43</t>
  </si>
  <si>
    <t>7X</t>
  </si>
  <si>
    <t>Fund 22 Should not have a Fund Balance amount</t>
  </si>
  <si>
    <t>5-Yr Averaging Funded Pupil Count</t>
  </si>
  <si>
    <t>Colorado Minimum Wage (1/1/24 &amp; Estimated 1/1/25)</t>
  </si>
  <si>
    <t>Additional Metrics from the Fiscal Heath Study done by Office of State Auditor (Click on "=" button to expand)</t>
  </si>
  <si>
    <t>https://www.cde.state.co.us/cdefinance/fiscalhealthreports</t>
  </si>
  <si>
    <t>Days Cash on Hand (DCH) = (Unrestricted Cash/Avg Daily Cost of Operations)</t>
  </si>
  <si>
    <t>Accounts Provided are Appropriate, but may not match District accounts</t>
  </si>
  <si>
    <t>Detailed Expense Account Code Budget Data</t>
  </si>
  <si>
    <t>Detailed Revenue Account Code Budget Data</t>
  </si>
  <si>
    <t>Property tax</t>
  </si>
  <si>
    <t>1120</t>
  </si>
  <si>
    <t>1140</t>
  </si>
  <si>
    <t>1141</t>
  </si>
  <si>
    <t>1500</t>
  </si>
  <si>
    <t>1900</t>
  </si>
  <si>
    <t>5111</t>
  </si>
  <si>
    <t>5120</t>
  </si>
  <si>
    <t>5121</t>
  </si>
  <si>
    <t>Del Penalties &amp; Int</t>
  </si>
  <si>
    <t>Abatements</t>
  </si>
  <si>
    <t>Refunding Bond Proceeds</t>
  </si>
  <si>
    <t>Proceeds from bond refinance</t>
  </si>
  <si>
    <t>Issuance of Premium</t>
  </si>
  <si>
    <t>5100</t>
  </si>
  <si>
    <t>0313</t>
  </si>
  <si>
    <t>Banking Service Fees</t>
  </si>
  <si>
    <t>0314</t>
  </si>
  <si>
    <t>Paying Agent Fees</t>
  </si>
  <si>
    <t>0330</t>
  </si>
  <si>
    <t>Bond refinance costs</t>
  </si>
  <si>
    <t>Debt Service/interest</t>
  </si>
  <si>
    <t>Debt Service/principal</t>
  </si>
  <si>
    <t>Payment to refunding escrow</t>
  </si>
  <si>
    <t>0830</t>
  </si>
  <si>
    <t>0910</t>
  </si>
  <si>
    <t>0940</t>
  </si>
  <si>
    <t>1930</t>
  </si>
  <si>
    <t>Miscellaneous income</t>
  </si>
  <si>
    <t>Sale of Fixed Assets</t>
  </si>
  <si>
    <t>Transfer From General Fund</t>
  </si>
  <si>
    <t>Federal School Brkfst Program</t>
  </si>
  <si>
    <t>Debt Service/Principal</t>
  </si>
  <si>
    <t>Watch for an update to see if Automatic Adjustment increases the Employer &amp;/or Employee required %</t>
  </si>
  <si>
    <t>Total Expenditures, Other Financing Uses &amp; Fund Balance</t>
  </si>
  <si>
    <t>FY 24-25</t>
  </si>
  <si>
    <t>FY 25-26</t>
  </si>
  <si>
    <t>FY25 Budget v</t>
  </si>
  <si>
    <t>FY 26 Budget</t>
  </si>
  <si>
    <t>Mineral Lease Fund (26)</t>
  </si>
  <si>
    <t>Athletic / Activity Fund (29)</t>
  </si>
  <si>
    <t>Building Fund (41)</t>
  </si>
  <si>
    <t>Cash-In_Leiu Of Land Fund (44)</t>
  </si>
  <si>
    <t>2XXX</t>
  </si>
  <si>
    <t>Colorado Preschool Fund (19)</t>
  </si>
  <si>
    <t>Trust Fund (72)</t>
  </si>
  <si>
    <t>26
Mineral Lease Fund</t>
  </si>
  <si>
    <t>31
Bond Redemption Fund</t>
  </si>
  <si>
    <t>29
Athletic &amp; Activity Fund</t>
  </si>
  <si>
    <t xml:space="preserve">   Tabor 3% Emergency Reserve Fund Balance - 
      Program 9321</t>
  </si>
  <si>
    <t xml:space="preserve">   Colorado PreSchool Program (CPP) - 
      Program 9324</t>
  </si>
  <si>
    <t>Total Program Reserve Fund (07)</t>
  </si>
  <si>
    <t>General Fund (10)</t>
  </si>
  <si>
    <t xml:space="preserve">                  Eaton School District RE-2</t>
  </si>
  <si>
    <t xml:space="preserve">     Adopted Budget</t>
  </si>
  <si>
    <t xml:space="preserve">                Superintendent</t>
  </si>
  <si>
    <t xml:space="preserve">                Luke Gonzales</t>
  </si>
  <si>
    <t xml:space="preserve">         Chief Financial Officer</t>
  </si>
  <si>
    <t xml:space="preserve">     Eaton School District RE-2</t>
  </si>
  <si>
    <t xml:space="preserve">                 211 1st Street</t>
  </si>
  <si>
    <t xml:space="preserve">               Eaton, CO  80615</t>
  </si>
  <si>
    <t>FY 2025/26</t>
  </si>
  <si>
    <t>Adopted Budget</t>
  </si>
  <si>
    <t>Object / Source</t>
  </si>
  <si>
    <t>18
Risk Management  / Insurance Fund</t>
  </si>
  <si>
    <t>19
Colorado PreSchool Program Fund</t>
  </si>
  <si>
    <t>21
Food Service Fund</t>
  </si>
  <si>
    <t>22
Designated Grants Fund</t>
  </si>
  <si>
    <t xml:space="preserve">23
Pupil Activity Fund </t>
  </si>
  <si>
    <t xml:space="preserve">25        Transportation </t>
  </si>
  <si>
    <t>43
Capital  Reserve Capital Projects Fund</t>
  </si>
  <si>
    <t>44
Land Reserve Fund</t>
  </si>
  <si>
    <t>72
Private-Purpose Trust Fund</t>
  </si>
  <si>
    <t xml:space="preserve">73                           Agency </t>
  </si>
  <si>
    <t>74                         Pupil Activity Agency</t>
  </si>
  <si>
    <t>FY2019-2020 Budget</t>
  </si>
  <si>
    <t>FY2016-2017 Budget</t>
  </si>
  <si>
    <t>See Fund 70</t>
  </si>
  <si>
    <t>BEGINNING FUND BALANCE
(Includes ALL Reserves)</t>
  </si>
  <si>
    <t>REVENUES</t>
  </si>
  <si>
    <t>TOTAL REVENUES</t>
  </si>
  <si>
    <t>TOTAL BEGINNING FUND BALANCE &amp; REVENUES</t>
  </si>
  <si>
    <t>TOTAL ALLOCATIONS TO / FROM OTHER FUNDS</t>
  </si>
  <si>
    <t>TRANSFERS TO / FROM OTHER FUNDS</t>
  </si>
  <si>
    <t>AVAILABLE  BEGINNING FUND BALANCE &amp; REVENUES (Plus or Minus (if Revenue) Allocations and Transfers)</t>
  </si>
  <si>
    <t>EXPENDITURES</t>
  </si>
  <si>
    <t>employee incentive program april 2024 - by program code</t>
  </si>
  <si>
    <t xml:space="preserve">  Salaries</t>
  </si>
  <si>
    <t>&gt;2100</t>
  </si>
  <si>
    <t xml:space="preserve">  Employee Benefits</t>
  </si>
  <si>
    <t xml:space="preserve">  Purchased Services</t>
  </si>
  <si>
    <t xml:space="preserve">  Supplies and Materials</t>
  </si>
  <si>
    <t xml:space="preserve">  Property</t>
  </si>
  <si>
    <t xml:space="preserve">  Other</t>
  </si>
  <si>
    <t xml:space="preserve">     Total Instruction</t>
  </si>
  <si>
    <t>2800+</t>
  </si>
  <si>
    <t xml:space="preserve">     Total Support To Students</t>
  </si>
  <si>
    <t xml:space="preserve">     Total Instructional Staff</t>
  </si>
  <si>
    <t>General Administration - Program 2300,
including Program 2303 and 2304</t>
  </si>
  <si>
    <t xml:space="preserve">     Total School Administration</t>
  </si>
  <si>
    <t xml:space="preserve">  Property </t>
  </si>
  <si>
    <t>Business Services - Program 2500,
including Program 2501</t>
  </si>
  <si>
    <t xml:space="preserve">      Total Business Services</t>
  </si>
  <si>
    <t xml:space="preserve">     Total Operations and Maintenance</t>
  </si>
  <si>
    <t xml:space="preserve">     Total Student Transportation</t>
  </si>
  <si>
    <t>Central Support - Program 2800,
including Program 2801</t>
  </si>
  <si>
    <t>0300,0400 ,0500</t>
  </si>
  <si>
    <t xml:space="preserve">     Total Central Support</t>
  </si>
  <si>
    <t xml:space="preserve">     Total Other Support</t>
  </si>
  <si>
    <t xml:space="preserve">     Total Enterprise Operations</t>
  </si>
  <si>
    <t xml:space="preserve">     Total Community Services</t>
  </si>
  <si>
    <t xml:space="preserve">     Total Education for Adults Services</t>
  </si>
  <si>
    <t xml:space="preserve">     Total Supporting Services</t>
  </si>
  <si>
    <t xml:space="preserve">     Total Property</t>
  </si>
  <si>
    <t>Other Uses - Program 5000s - including Transfers Out and / or Allocations Out as an expenditure</t>
  </si>
  <si>
    <t xml:space="preserve">     Total Other Uses</t>
  </si>
  <si>
    <t xml:space="preserve">     TOTAL EXPENDITURES</t>
  </si>
  <si>
    <t xml:space="preserve">   Non-Spendable Fund Balance  - Program 9900</t>
  </si>
  <si>
    <t xml:space="preserve">   Restricted Fund Balance -
      Debt Service / Capital Projects
         Program 9900</t>
  </si>
  <si>
    <t xml:space="preserve">   TABOR Multi-Year Obligations - Program 9322</t>
  </si>
  <si>
    <t xml:space="preserve">   Committed Fund Balance - Program 9900</t>
  </si>
  <si>
    <t xml:space="preserve">   Assigned Fund Balance - Program 9900</t>
  </si>
  <si>
    <t xml:space="preserve">   Unassigned Fund Balance - Program 9900</t>
  </si>
  <si>
    <t>TOTAL ENDING FUND BALANCE</t>
  </si>
  <si>
    <t xml:space="preserve">     TOTAL EXPENDITURES &amp; RESERVES</t>
  </si>
  <si>
    <t>NON-APPROPRIATED RESERVE - Program 9200</t>
  </si>
  <si>
    <t>TOTAL AVAILABLE BEGINNING FUND BALANCE &amp; REVENUES LESS TOTAL EXPENDITURES &amp; RESERVES LESS ENDING FUND BALANCE
(Shall Equal Zero (0)</t>
  </si>
  <si>
    <t>Use of a portion of beginning fund balance resolution required by board of education</t>
  </si>
  <si>
    <t>proof</t>
  </si>
  <si>
    <t>General Fund (10) Summary</t>
  </si>
  <si>
    <t>Preschool Fund (19)</t>
  </si>
  <si>
    <t>Land Reserve Fund (44)</t>
  </si>
  <si>
    <t xml:space="preserve"> FY 2025/26</t>
  </si>
  <si>
    <t xml:space="preserve">                   FY 2026/27</t>
  </si>
  <si>
    <t xml:space="preserve">                  Mr. Todd Cordrey</t>
  </si>
  <si>
    <t>FY 26-27</t>
  </si>
  <si>
    <t>FY2026-2027 SUMMARY BUDGET</t>
  </si>
  <si>
    <r>
      <t>EATON SCHOOL DISTRICT RE-2, WELD COUNTY
DISTRICT CODE:  3085
ADOPTED BUDGET</t>
    </r>
    <r>
      <rPr>
        <b/>
        <sz val="14"/>
        <color rgb="FFCC0000"/>
        <rFont val="Calibri"/>
        <family val="2"/>
      </rPr>
      <t xml:space="preserve">
Adopted</t>
    </r>
    <r>
      <rPr>
        <b/>
        <sz val="14"/>
        <rFont val="Calibri"/>
        <family val="2"/>
      </rPr>
      <t xml:space="preserve"> By Board Resolution - 06-08-2026</t>
    </r>
  </si>
  <si>
    <r>
      <rPr>
        <b/>
        <sz val="14"/>
        <color rgb="FFC00000"/>
        <rFont val="Calibri"/>
        <family val="2"/>
      </rPr>
      <t>ADOPTED BUDGET</t>
    </r>
    <r>
      <rPr>
        <b/>
        <sz val="14"/>
        <rFont val="Calibri"/>
        <family val="2"/>
      </rPr>
      <t xml:space="preserve"> - Pupil Count  2,009.0</t>
    </r>
  </si>
  <si>
    <t>FY2026-2027 Budget</t>
  </si>
  <si>
    <t>Mineral Lease Fund Beginning Fund Balance</t>
  </si>
  <si>
    <t>Mineral Lease Fund Ending Fund Balance</t>
  </si>
  <si>
    <t>Athletic / Activity Fund Beginning Fund Balance</t>
  </si>
  <si>
    <t>Athletic / Activity Fund Ending Fund Balance</t>
  </si>
  <si>
    <t>Land Reserve Fund Beginning Fund Balance</t>
  </si>
  <si>
    <t>:amd Reserve Fund 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</si>
</sst>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"/>
    <numFmt numFmtId="167" formatCode="#,##0.0"/>
    <numFmt numFmtId="168" formatCode="#,##0.0000_);[Red]\(#,##0.0000\)"/>
    <numFmt numFmtId="169" formatCode="mm/dd/yy;@"/>
    <numFmt numFmtId="170" formatCode="0.0000"/>
    <numFmt numFmtId="171" formatCode="_(* #,##0_);_(* \(#,##0\);_(* &quot;-&quot;??_);_(@_)"/>
    <numFmt numFmtId="172" formatCode="#,##0.0_);\(#,##0.0\)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i/>
      <sz val="11"/>
      <color rgb="FF0000FF"/>
      <name val="Calibri"/>
      <family val="2"/>
      <scheme val="minor"/>
    </font>
    <font>
      <b/>
      <sz val="11"/>
      <color rgb="FFB40000"/>
      <name val="Calibri"/>
      <family val="2"/>
      <scheme val="minor"/>
    </font>
    <font>
      <sz val="11"/>
      <color rgb="FFB40000"/>
      <name val="Calibri"/>
      <family val="2"/>
      <scheme val="minor"/>
    </font>
    <font>
      <b/>
      <sz val="18"/>
      <color rgb="FFB40000"/>
      <name val="Calibri"/>
      <family val="2"/>
      <scheme val="minor"/>
    </font>
    <font>
      <b/>
      <sz val="16"/>
      <color rgb="FFB4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name val="Helv"/>
    </font>
    <font>
      <sz val="8"/>
      <name val="Calibri"/>
      <family val="2"/>
    </font>
    <font>
      <b/>
      <sz val="20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</font>
    <font>
      <b/>
      <sz val="14"/>
      <color rgb="FFC00000"/>
      <name val="Calibri"/>
      <family val="2"/>
    </font>
    <font>
      <b/>
      <sz val="14"/>
      <color rgb="FFCC0000"/>
      <name val="Calibri"/>
      <family val="2"/>
    </font>
    <font>
      <sz val="14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sz val="14"/>
      <color indexed="8"/>
      <name val="Calibri"/>
      <family val="2"/>
    </font>
    <font>
      <b/>
      <i/>
      <u/>
      <sz val="11"/>
      <name val="Calibri"/>
      <family val="2"/>
    </font>
    <font>
      <u/>
      <sz val="14"/>
      <name val="Calibri"/>
      <family val="2"/>
    </font>
    <font>
      <b/>
      <sz val="10"/>
      <color rgb="FF800000"/>
      <name val="Calibri"/>
      <family val="2"/>
    </font>
    <font>
      <sz val="18"/>
      <name val="Calibri"/>
      <family val="2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37" fontId="36" fillId="0" borderId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406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5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8" xfId="0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37" fontId="1" fillId="0" borderId="10" xfId="0" applyNumberFormat="1" applyFont="1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1" fillId="2" borderId="23" xfId="0" applyFont="1" applyFill="1" applyBorder="1" applyAlignment="1">
      <alignment horizontal="centerContinuous"/>
    </xf>
    <xf numFmtId="0" fontId="1" fillId="2" borderId="24" xfId="0" applyFont="1" applyFill="1" applyBorder="1" applyAlignment="1">
      <alignment horizontal="centerContinuous"/>
    </xf>
    <xf numFmtId="0" fontId="1" fillId="2" borderId="25" xfId="0" applyFont="1" applyFill="1" applyBorder="1" applyAlignment="1">
      <alignment horizontal="centerContinuous"/>
    </xf>
    <xf numFmtId="3" fontId="0" fillId="0" borderId="0" xfId="0" applyNumberFormat="1"/>
    <xf numFmtId="3" fontId="0" fillId="0" borderId="8" xfId="0" applyNumberFormat="1" applyBorder="1"/>
    <xf numFmtId="164" fontId="0" fillId="0" borderId="15" xfId="0" applyNumberFormat="1" applyBorder="1"/>
    <xf numFmtId="165" fontId="0" fillId="0" borderId="0" xfId="0" applyNumberFormat="1"/>
    <xf numFmtId="10" fontId="0" fillId="0" borderId="0" xfId="0" applyNumberFormat="1"/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6" fontId="0" fillId="0" borderId="0" xfId="0" applyNumberFormat="1"/>
    <xf numFmtId="165" fontId="0" fillId="0" borderId="26" xfId="0" applyNumberFormat="1" applyBorder="1"/>
    <xf numFmtId="6" fontId="0" fillId="0" borderId="8" xfId="0" applyNumberFormat="1" applyBorder="1"/>
    <xf numFmtId="164" fontId="0" fillId="0" borderId="8" xfId="0" applyNumberFormat="1" applyBorder="1"/>
    <xf numFmtId="0" fontId="1" fillId="0" borderId="30" xfId="0" applyFont="1" applyBorder="1"/>
    <xf numFmtId="0" fontId="0" fillId="0" borderId="14" xfId="0" applyBorder="1"/>
    <xf numFmtId="164" fontId="0" fillId="0" borderId="14" xfId="0" applyNumberFormat="1" applyBorder="1"/>
    <xf numFmtId="0" fontId="0" fillId="0" borderId="31" xfId="0" applyBorder="1"/>
    <xf numFmtId="0" fontId="1" fillId="0" borderId="32" xfId="0" applyFont="1" applyBorder="1"/>
    <xf numFmtId="3" fontId="0" fillId="0" borderId="33" xfId="0" applyNumberFormat="1" applyBorder="1"/>
    <xf numFmtId="0" fontId="1" fillId="0" borderId="35" xfId="0" applyFont="1" applyBorder="1"/>
    <xf numFmtId="3" fontId="0" fillId="0" borderId="36" xfId="0" applyNumberFormat="1" applyBorder="1"/>
    <xf numFmtId="166" fontId="0" fillId="0" borderId="1" xfId="0" applyNumberFormat="1" applyBorder="1"/>
    <xf numFmtId="164" fontId="0" fillId="0" borderId="33" xfId="0" applyNumberFormat="1" applyBorder="1"/>
    <xf numFmtId="6" fontId="0" fillId="0" borderId="34" xfId="0" applyNumberFormat="1" applyBorder="1"/>
    <xf numFmtId="0" fontId="8" fillId="0" borderId="0" xfId="0" applyFont="1"/>
    <xf numFmtId="38" fontId="0" fillId="0" borderId="0" xfId="0" applyNumberForma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2" fontId="0" fillId="0" borderId="1" xfId="0" applyNumberFormat="1" applyBorder="1"/>
    <xf numFmtId="10" fontId="0" fillId="0" borderId="1" xfId="0" applyNumberFormat="1" applyBorder="1"/>
    <xf numFmtId="0" fontId="0" fillId="0" borderId="0" xfId="0" applyAlignment="1">
      <alignment wrapText="1"/>
    </xf>
    <xf numFmtId="0" fontId="12" fillId="0" borderId="0" xfId="0" applyFont="1"/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Continuous"/>
    </xf>
    <xf numFmtId="0" fontId="4" fillId="6" borderId="25" xfId="0" applyFont="1" applyFill="1" applyBorder="1" applyAlignment="1">
      <alignment horizontal="centerContinuous"/>
    </xf>
    <xf numFmtId="0" fontId="0" fillId="0" borderId="19" xfId="0" applyBorder="1"/>
    <xf numFmtId="0" fontId="0" fillId="0" borderId="20" xfId="0" applyBorder="1"/>
    <xf numFmtId="0" fontId="15" fillId="0" borderId="0" xfId="0" applyFont="1"/>
    <xf numFmtId="0" fontId="0" fillId="0" borderId="21" xfId="0" applyBorder="1"/>
    <xf numFmtId="0" fontId="0" fillId="0" borderId="15" xfId="0" applyBorder="1"/>
    <xf numFmtId="0" fontId="0" fillId="0" borderId="2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6" fontId="0" fillId="0" borderId="0" xfId="0" applyNumberFormat="1" applyAlignment="1">
      <alignment horizontal="right"/>
    </xf>
    <xf numFmtId="6" fontId="0" fillId="0" borderId="14" xfId="0" applyNumberFormat="1" applyBorder="1"/>
    <xf numFmtId="6" fontId="0" fillId="0" borderId="31" xfId="0" applyNumberFormat="1" applyBorder="1"/>
    <xf numFmtId="6" fontId="0" fillId="0" borderId="33" xfId="0" applyNumberFormat="1" applyBorder="1"/>
    <xf numFmtId="6" fontId="0" fillId="0" borderId="36" xfId="0" applyNumberFormat="1" applyBorder="1"/>
    <xf numFmtId="0" fontId="18" fillId="0" borderId="0" xfId="0" quotePrefix="1" applyFont="1"/>
    <xf numFmtId="38" fontId="0" fillId="0" borderId="0" xfId="0" applyNumberFormat="1" applyAlignment="1">
      <alignment horizontal="right"/>
    </xf>
    <xf numFmtId="38" fontId="0" fillId="0" borderId="8" xfId="0" applyNumberFormat="1" applyBorder="1" applyAlignment="1">
      <alignment horizontal="right"/>
    </xf>
    <xf numFmtId="40" fontId="0" fillId="0" borderId="0" xfId="0" applyNumberFormat="1" applyAlignment="1">
      <alignment horizontal="center"/>
    </xf>
    <xf numFmtId="40" fontId="0" fillId="0" borderId="0" xfId="0" applyNumberFormat="1"/>
    <xf numFmtId="0" fontId="15" fillId="7" borderId="0" xfId="0" applyFont="1" applyFill="1"/>
    <xf numFmtId="40" fontId="2" fillId="0" borderId="0" xfId="0" applyNumberFormat="1" applyFont="1" applyAlignment="1">
      <alignment horizontal="center"/>
    </xf>
    <xf numFmtId="38" fontId="0" fillId="0" borderId="0" xfId="0" applyNumberFormat="1" applyAlignment="1">
      <alignment horizontal="center"/>
    </xf>
    <xf numFmtId="38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40" fontId="20" fillId="7" borderId="0" xfId="0" applyNumberFormat="1" applyFont="1" applyFill="1" applyAlignment="1">
      <alignment horizontal="center"/>
    </xf>
    <xf numFmtId="40" fontId="23" fillId="7" borderId="0" xfId="0" applyNumberFormat="1" applyFont="1" applyFill="1" applyAlignment="1">
      <alignment horizontal="center"/>
    </xf>
    <xf numFmtId="0" fontId="24" fillId="0" borderId="0" xfId="0" applyFont="1" applyAlignment="1">
      <alignment horizontal="center"/>
    </xf>
    <xf numFmtId="40" fontId="2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68" fontId="19" fillId="7" borderId="37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9" fontId="0" fillId="8" borderId="0" xfId="0" applyNumberFormat="1" applyFill="1" applyAlignment="1">
      <alignment horizontal="center"/>
    </xf>
    <xf numFmtId="167" fontId="1" fillId="8" borderId="14" xfId="0" applyNumberFormat="1" applyFont="1" applyFill="1" applyBorder="1" applyAlignment="1">
      <alignment horizontal="center"/>
    </xf>
    <xf numFmtId="0" fontId="1" fillId="8" borderId="0" xfId="0" applyFont="1" applyFill="1"/>
    <xf numFmtId="40" fontId="1" fillId="8" borderId="14" xfId="0" applyNumberFormat="1" applyFont="1" applyFill="1" applyBorder="1" applyAlignment="1">
      <alignment horizontal="center"/>
    </xf>
    <xf numFmtId="6" fontId="0" fillId="0" borderId="8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37" fontId="0" fillId="0" borderId="9" xfId="0" applyNumberFormat="1" applyBorder="1" applyAlignment="1">
      <alignment horizontal="right"/>
    </xf>
    <xf numFmtId="37" fontId="0" fillId="0" borderId="10" xfId="0" applyNumberFormat="1" applyBorder="1" applyAlignment="1">
      <alignment horizontal="right"/>
    </xf>
    <xf numFmtId="37" fontId="0" fillId="0" borderId="47" xfId="0" applyNumberFormat="1" applyBorder="1" applyAlignment="1">
      <alignment horizontal="right"/>
    </xf>
    <xf numFmtId="37" fontId="1" fillId="0" borderId="14" xfId="0" applyNumberFormat="1" applyFont="1" applyBorder="1" applyAlignment="1">
      <alignment horizontal="right"/>
    </xf>
    <xf numFmtId="37" fontId="0" fillId="0" borderId="14" xfId="0" applyNumberFormat="1" applyBorder="1" applyAlignment="1">
      <alignment horizontal="right"/>
    </xf>
    <xf numFmtId="37" fontId="0" fillId="0" borderId="13" xfId="0" applyNumberForma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9" xfId="0" applyNumberFormat="1" applyFont="1" applyBorder="1" applyAlignment="1">
      <alignment horizontal="right"/>
    </xf>
    <xf numFmtId="37" fontId="1" fillId="0" borderId="10" xfId="0" applyNumberFormat="1" applyFont="1" applyBorder="1" applyAlignment="1">
      <alignment horizontal="right"/>
    </xf>
    <xf numFmtId="37" fontId="0" fillId="0" borderId="11" xfId="0" applyNumberFormat="1" applyBorder="1" applyAlignment="1">
      <alignment horizontal="right"/>
    </xf>
    <xf numFmtId="37" fontId="0" fillId="0" borderId="8" xfId="0" applyNumberFormat="1" applyBorder="1" applyAlignment="1">
      <alignment horizontal="right"/>
    </xf>
    <xf numFmtId="37" fontId="0" fillId="0" borderId="12" xfId="0" applyNumberFormat="1" applyBorder="1" applyAlignment="1">
      <alignment horizontal="right"/>
    </xf>
    <xf numFmtId="38" fontId="0" fillId="0" borderId="43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0" fillId="0" borderId="44" xfId="0" applyNumberFormat="1" applyBorder="1" applyAlignment="1">
      <alignment horizontal="right"/>
    </xf>
    <xf numFmtId="37" fontId="0" fillId="0" borderId="5" xfId="0" applyNumberFormat="1" applyBorder="1" applyAlignment="1">
      <alignment horizontal="right"/>
    </xf>
    <xf numFmtId="37" fontId="0" fillId="0" borderId="6" xfId="0" applyNumberFormat="1" applyBorder="1" applyAlignment="1">
      <alignment horizontal="right"/>
    </xf>
    <xf numFmtId="37" fontId="0" fillId="0" borderId="38" xfId="0" applyNumberFormat="1" applyBorder="1" applyAlignment="1">
      <alignment horizontal="right"/>
    </xf>
    <xf numFmtId="37" fontId="0" fillId="0" borderId="7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42" fontId="0" fillId="0" borderId="0" xfId="0" applyNumberFormat="1" applyAlignment="1">
      <alignment horizontal="right"/>
    </xf>
    <xf numFmtId="38" fontId="0" fillId="0" borderId="1" xfId="0" applyNumberFormat="1" applyBorder="1" applyAlignment="1">
      <alignment horizontal="right"/>
    </xf>
    <xf numFmtId="37" fontId="0" fillId="0" borderId="45" xfId="0" applyNumberFormat="1" applyBorder="1" applyAlignment="1">
      <alignment horizontal="right"/>
    </xf>
    <xf numFmtId="37" fontId="0" fillId="0" borderId="46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6" fontId="0" fillId="0" borderId="1" xfId="0" applyNumberFormat="1" applyBorder="1" applyAlignment="1">
      <alignment horizontal="right"/>
    </xf>
    <xf numFmtId="0" fontId="1" fillId="2" borderId="4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37" fontId="1" fillId="6" borderId="9" xfId="0" applyNumberFormat="1" applyFont="1" applyFill="1" applyBorder="1" applyAlignment="1">
      <alignment horizontal="center"/>
    </xf>
    <xf numFmtId="37" fontId="0" fillId="6" borderId="9" xfId="0" applyNumberFormat="1" applyFill="1" applyBorder="1" applyAlignment="1">
      <alignment horizontal="right"/>
    </xf>
    <xf numFmtId="37" fontId="0" fillId="9" borderId="47" xfId="0" applyNumberFormat="1" applyFill="1" applyBorder="1" applyAlignment="1">
      <alignment horizontal="right"/>
    </xf>
    <xf numFmtId="37" fontId="1" fillId="9" borderId="9" xfId="0" applyNumberFormat="1" applyFont="1" applyFill="1" applyBorder="1" applyAlignment="1">
      <alignment horizontal="right"/>
    </xf>
    <xf numFmtId="37" fontId="0" fillId="9" borderId="9" xfId="0" applyNumberFormat="1" applyFill="1" applyBorder="1" applyAlignment="1">
      <alignment horizontal="right"/>
    </xf>
    <xf numFmtId="37" fontId="0" fillId="9" borderId="11" xfId="0" applyNumberFormat="1" applyFill="1" applyBorder="1" applyAlignment="1">
      <alignment horizontal="right"/>
    </xf>
    <xf numFmtId="6" fontId="1" fillId="2" borderId="43" xfId="0" applyNumberFormat="1" applyFont="1" applyFill="1" applyBorder="1" applyAlignment="1">
      <alignment horizontal="right"/>
    </xf>
    <xf numFmtId="0" fontId="1" fillId="0" borderId="27" xfId="0" applyFont="1" applyBorder="1" applyAlignment="1">
      <alignment horizontal="center"/>
    </xf>
    <xf numFmtId="37" fontId="1" fillId="6" borderId="27" xfId="0" applyNumberFormat="1" applyFont="1" applyFill="1" applyBorder="1" applyAlignment="1">
      <alignment horizontal="center"/>
    </xf>
    <xf numFmtId="37" fontId="0" fillId="6" borderId="27" xfId="0" applyNumberFormat="1" applyFill="1" applyBorder="1" applyAlignment="1">
      <alignment horizontal="right"/>
    </xf>
    <xf numFmtId="37" fontId="0" fillId="9" borderId="48" xfId="0" applyNumberFormat="1" applyFill="1" applyBorder="1" applyAlignment="1">
      <alignment horizontal="right"/>
    </xf>
    <xf numFmtId="37" fontId="1" fillId="9" borderId="27" xfId="0" applyNumberFormat="1" applyFont="1" applyFill="1" applyBorder="1" applyAlignment="1">
      <alignment horizontal="right"/>
    </xf>
    <xf numFmtId="37" fontId="0" fillId="9" borderId="27" xfId="0" applyNumberFormat="1" applyFill="1" applyBorder="1" applyAlignment="1">
      <alignment horizontal="right"/>
    </xf>
    <xf numFmtId="6" fontId="1" fillId="2" borderId="42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37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7" fontId="1" fillId="0" borderId="0" xfId="0" applyNumberFormat="1" applyFont="1"/>
    <xf numFmtId="37" fontId="0" fillId="0" borderId="43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5" fillId="0" borderId="0" xfId="0" applyFont="1"/>
    <xf numFmtId="0" fontId="0" fillId="0" borderId="49" xfId="0" applyBorder="1" applyAlignment="1">
      <alignment wrapText="1"/>
    </xf>
    <xf numFmtId="37" fontId="26" fillId="0" borderId="9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40" fontId="1" fillId="0" borderId="14" xfId="0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37" fontId="0" fillId="0" borderId="39" xfId="0" applyNumberFormat="1" applyBorder="1" applyAlignment="1">
      <alignment horizontal="right"/>
    </xf>
    <xf numFmtId="37" fontId="0" fillId="0" borderId="40" xfId="0" applyNumberFormat="1" applyBorder="1" applyAlignment="1">
      <alignment horizontal="right"/>
    </xf>
    <xf numFmtId="37" fontId="0" fillId="0" borderId="51" xfId="0" applyNumberFormat="1" applyBorder="1" applyAlignment="1">
      <alignment horizontal="right"/>
    </xf>
    <xf numFmtId="40" fontId="1" fillId="0" borderId="0" xfId="0" applyNumberFormat="1" applyFont="1" applyAlignment="1">
      <alignment horizontal="center"/>
    </xf>
    <xf numFmtId="0" fontId="0" fillId="8" borderId="49" xfId="0" applyFill="1" applyBorder="1" applyAlignment="1">
      <alignment wrapText="1"/>
    </xf>
    <xf numFmtId="0" fontId="0" fillId="8" borderId="49" xfId="0" applyFill="1" applyBorder="1"/>
    <xf numFmtId="49" fontId="0" fillId="8" borderId="50" xfId="0" applyNumberFormat="1" applyFill="1" applyBorder="1"/>
    <xf numFmtId="49" fontId="0" fillId="8" borderId="0" xfId="0" applyNumberFormat="1" applyFill="1"/>
    <xf numFmtId="0" fontId="0" fillId="2" borderId="0" xfId="0" applyFill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/>
    <xf numFmtId="37" fontId="26" fillId="0" borderId="0" xfId="0" applyNumberFormat="1" applyFont="1" applyAlignment="1">
      <alignment horizontal="right"/>
    </xf>
    <xf numFmtId="37" fontId="26" fillId="0" borderId="10" xfId="0" applyNumberFormat="1" applyFont="1" applyBorder="1" applyAlignment="1">
      <alignment horizontal="right"/>
    </xf>
    <xf numFmtId="37" fontId="26" fillId="0" borderId="2" xfId="0" applyNumberFormat="1" applyFont="1" applyBorder="1" applyAlignment="1">
      <alignment horizontal="right"/>
    </xf>
    <xf numFmtId="37" fontId="26" fillId="0" borderId="3" xfId="0" applyNumberFormat="1" applyFont="1" applyBorder="1" applyAlignment="1">
      <alignment horizontal="right"/>
    </xf>
    <xf numFmtId="0" fontId="3" fillId="0" borderId="0" xfId="0" applyFont="1"/>
    <xf numFmtId="0" fontId="21" fillId="7" borderId="0" xfId="0" applyFont="1" applyFill="1" applyAlignment="1">
      <alignment horizontal="center" textRotation="180"/>
    </xf>
    <xf numFmtId="0" fontId="13" fillId="0" borderId="0" xfId="0" applyFont="1" applyAlignment="1">
      <alignment horizontal="center"/>
    </xf>
    <xf numFmtId="0" fontId="22" fillId="7" borderId="0" xfId="0" applyFont="1" applyFill="1" applyAlignment="1">
      <alignment horizontal="center"/>
    </xf>
    <xf numFmtId="0" fontId="13" fillId="0" borderId="0" xfId="0" applyFont="1" applyAlignment="1">
      <alignment horizontal="centerContinuous"/>
    </xf>
    <xf numFmtId="0" fontId="1" fillId="0" borderId="0" xfId="0" applyFont="1" applyFill="1" applyAlignment="1">
      <alignment horizontal="left"/>
    </xf>
    <xf numFmtId="37" fontId="0" fillId="0" borderId="9" xfId="0" applyNumberFormat="1" applyFill="1" applyBorder="1" applyAlignment="1">
      <alignment horizontal="right"/>
    </xf>
    <xf numFmtId="40" fontId="20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9" fontId="0" fillId="8" borderId="0" xfId="0" applyNumberFormat="1" applyFill="1" applyAlignment="1">
      <alignment horizontal="center"/>
    </xf>
    <xf numFmtId="37" fontId="0" fillId="0" borderId="0" xfId="0" applyNumberFormat="1" applyBorder="1" applyAlignment="1">
      <alignment horizontal="right"/>
    </xf>
    <xf numFmtId="40" fontId="20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9" fontId="0" fillId="8" borderId="0" xfId="0" applyNumberFormat="1" applyFill="1" applyAlignment="1">
      <alignment horizontal="center"/>
    </xf>
    <xf numFmtId="38" fontId="0" fillId="0" borderId="26" xfId="0" applyNumberFormat="1" applyFill="1" applyBorder="1" applyAlignment="1">
      <alignment horizontal="right"/>
    </xf>
    <xf numFmtId="37" fontId="0" fillId="0" borderId="8" xfId="0" applyNumberFormat="1" applyFill="1" applyBorder="1" applyAlignment="1">
      <alignment horizontal="right"/>
    </xf>
    <xf numFmtId="37" fontId="0" fillId="0" borderId="14" xfId="0" applyNumberFormat="1" applyFill="1" applyBorder="1" applyAlignment="1">
      <alignment horizontal="right"/>
    </xf>
    <xf numFmtId="37" fontId="0" fillId="0" borderId="0" xfId="0" applyNumberFormat="1" applyFill="1" applyAlignment="1">
      <alignment horizontal="right"/>
    </xf>
    <xf numFmtId="170" fontId="0" fillId="0" borderId="0" xfId="0" applyNumberFormat="1"/>
    <xf numFmtId="167" fontId="29" fillId="0" borderId="0" xfId="0" applyNumberFormat="1" applyFont="1"/>
    <xf numFmtId="43" fontId="0" fillId="0" borderId="0" xfId="2" applyFont="1" applyAlignment="1">
      <alignment horizontal="center"/>
    </xf>
    <xf numFmtId="37" fontId="0" fillId="0" borderId="11" xfId="0" applyNumberFormat="1" applyFill="1" applyBorder="1" applyAlignment="1">
      <alignment horizontal="right"/>
    </xf>
    <xf numFmtId="37" fontId="0" fillId="0" borderId="12" xfId="0" applyNumberFormat="1" applyFill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37" fontId="0" fillId="0" borderId="46" xfId="0" applyNumberFormat="1" applyFill="1" applyBorder="1" applyAlignment="1">
      <alignment horizontal="right"/>
    </xf>
    <xf numFmtId="0" fontId="30" fillId="10" borderId="2" xfId="0" applyFont="1" applyFill="1" applyBorder="1" applyAlignment="1">
      <alignment horizontal="center"/>
    </xf>
    <xf numFmtId="0" fontId="30" fillId="10" borderId="3" xfId="0" applyFont="1" applyFill="1" applyBorder="1" applyAlignment="1">
      <alignment horizontal="center"/>
    </xf>
    <xf numFmtId="0" fontId="30" fillId="10" borderId="4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0" fillId="10" borderId="5" xfId="0" applyFont="1" applyFill="1" applyBorder="1" applyAlignment="1">
      <alignment horizontal="center"/>
    </xf>
    <xf numFmtId="0" fontId="30" fillId="10" borderId="6" xfId="0" applyFont="1" applyFill="1" applyBorder="1"/>
    <xf numFmtId="0" fontId="30" fillId="10" borderId="6" xfId="0" applyFont="1" applyFill="1" applyBorder="1" applyAlignment="1">
      <alignment horizontal="center"/>
    </xf>
    <xf numFmtId="0" fontId="30" fillId="10" borderId="7" xfId="0" applyFont="1" applyFill="1" applyBorder="1" applyAlignment="1">
      <alignment horizontal="center"/>
    </xf>
    <xf numFmtId="0" fontId="30" fillId="10" borderId="3" xfId="0" applyFont="1" applyFill="1" applyBorder="1" applyAlignment="1">
      <alignment horizontal="center" wrapText="1"/>
    </xf>
    <xf numFmtId="0" fontId="30" fillId="10" borderId="6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0" fillId="0" borderId="0" xfId="0" applyBorder="1"/>
    <xf numFmtId="0" fontId="1" fillId="0" borderId="0" xfId="0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right"/>
    </xf>
    <xf numFmtId="0" fontId="30" fillId="10" borderId="41" xfId="0" applyFont="1" applyFill="1" applyBorder="1" applyAlignment="1">
      <alignment horizontal="center"/>
    </xf>
    <xf numFmtId="0" fontId="30" fillId="10" borderId="28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37" fontId="0" fillId="0" borderId="27" xfId="0" applyNumberFormat="1" applyBorder="1" applyAlignment="1">
      <alignment horizontal="right"/>
    </xf>
    <xf numFmtId="37" fontId="0" fillId="0" borderId="48" xfId="0" applyNumberFormat="1" applyBorder="1" applyAlignment="1">
      <alignment horizontal="right"/>
    </xf>
    <xf numFmtId="37" fontId="1" fillId="0" borderId="27" xfId="0" applyNumberFormat="1" applyFont="1" applyBorder="1" applyAlignment="1">
      <alignment horizontal="right"/>
    </xf>
    <xf numFmtId="37" fontId="0" fillId="0" borderId="52" xfId="0" applyNumberFormat="1" applyBorder="1" applyAlignment="1">
      <alignment horizontal="right"/>
    </xf>
    <xf numFmtId="38" fontId="0" fillId="0" borderId="42" xfId="0" applyNumberFormat="1" applyBorder="1" applyAlignment="1">
      <alignment horizontal="right"/>
    </xf>
    <xf numFmtId="0" fontId="0" fillId="0" borderId="27" xfId="0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5" fillId="6" borderId="23" xfId="0" applyFont="1" applyFill="1" applyBorder="1" applyAlignment="1">
      <alignment horizontal="left"/>
    </xf>
    <xf numFmtId="0" fontId="32" fillId="6" borderId="23" xfId="0" applyFont="1" applyFill="1" applyBorder="1" applyAlignment="1">
      <alignment horizontal="left"/>
    </xf>
    <xf numFmtId="0" fontId="33" fillId="6" borderId="23" xfId="0" applyFont="1" applyFill="1" applyBorder="1" applyAlignment="1">
      <alignment vertical="center"/>
    </xf>
    <xf numFmtId="0" fontId="33" fillId="6" borderId="24" xfId="0" applyFont="1" applyFill="1" applyBorder="1" applyAlignment="1">
      <alignment vertical="center"/>
    </xf>
    <xf numFmtId="0" fontId="33" fillId="6" borderId="25" xfId="0" applyFont="1" applyFill="1" applyBorder="1" applyAlignment="1">
      <alignment vertical="center"/>
    </xf>
    <xf numFmtId="0" fontId="3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5" fillId="0" borderId="0" xfId="0" applyFont="1" applyAlignment="1">
      <alignment horizontal="centerContinuous"/>
    </xf>
    <xf numFmtId="0" fontId="30" fillId="10" borderId="23" xfId="0" applyFont="1" applyFill="1" applyBorder="1" applyAlignment="1">
      <alignment horizontal="centerContinuous"/>
    </xf>
    <xf numFmtId="0" fontId="30" fillId="10" borderId="24" xfId="0" applyFont="1" applyFill="1" applyBorder="1" applyAlignment="1">
      <alignment horizontal="centerContinuous"/>
    </xf>
    <xf numFmtId="0" fontId="30" fillId="10" borderId="25" xfId="0" applyFont="1" applyFill="1" applyBorder="1" applyAlignment="1">
      <alignment horizontal="centerContinuous"/>
    </xf>
    <xf numFmtId="0" fontId="30" fillId="10" borderId="1" xfId="0" applyFont="1" applyFill="1" applyBorder="1" applyAlignment="1">
      <alignment horizontal="center"/>
    </xf>
    <xf numFmtId="0" fontId="31" fillId="10" borderId="0" xfId="0" applyFont="1" applyFill="1"/>
    <xf numFmtId="37" fontId="37" fillId="0" borderId="0" xfId="3" applyFont="1" applyBorder="1"/>
    <xf numFmtId="37" fontId="38" fillId="0" borderId="0" xfId="3" applyNumberFormat="1" applyFont="1" applyAlignment="1">
      <alignment wrapText="1"/>
    </xf>
    <xf numFmtId="37" fontId="9" fillId="0" borderId="0" xfId="3" applyFont="1" applyAlignment="1">
      <alignment horizontal="right" wrapText="1"/>
    </xf>
    <xf numFmtId="37" fontId="37" fillId="0" borderId="0" xfId="3" applyFont="1"/>
    <xf numFmtId="38" fontId="27" fillId="0" borderId="0" xfId="4" applyNumberFormat="1" applyFont="1"/>
    <xf numFmtId="38" fontId="37" fillId="0" borderId="0" xfId="4" applyNumberFormat="1" applyFont="1"/>
    <xf numFmtId="38" fontId="39" fillId="0" borderId="0" xfId="4" applyNumberFormat="1" applyFont="1" applyAlignment="1">
      <alignment wrapText="1"/>
    </xf>
    <xf numFmtId="37" fontId="37" fillId="0" borderId="0" xfId="3" applyFont="1" applyFill="1" applyBorder="1"/>
    <xf numFmtId="37" fontId="40" fillId="11" borderId="0" xfId="3" applyFont="1" applyFill="1" applyBorder="1" applyAlignment="1">
      <alignment horizontal="center" wrapText="1"/>
    </xf>
    <xf numFmtId="37" fontId="40" fillId="0" borderId="53" xfId="3" applyFont="1" applyBorder="1" applyAlignment="1" applyProtection="1">
      <alignment vertical="center" wrapText="1"/>
      <protection locked="0"/>
    </xf>
    <xf numFmtId="37" fontId="40" fillId="0" borderId="4" xfId="3" applyFont="1" applyBorder="1" applyAlignment="1" applyProtection="1">
      <alignment horizontal="center" wrapText="1"/>
      <protection locked="0"/>
    </xf>
    <xf numFmtId="37" fontId="40" fillId="11" borderId="40" xfId="3" applyFont="1" applyFill="1" applyBorder="1" applyAlignment="1">
      <alignment horizontal="center" wrapText="1"/>
    </xf>
    <xf numFmtId="38" fontId="40" fillId="0" borderId="53" xfId="4" applyNumberFormat="1" applyFont="1" applyBorder="1" applyAlignment="1">
      <alignment horizontal="center" wrapText="1"/>
    </xf>
    <xf numFmtId="38" fontId="40" fillId="11" borderId="40" xfId="4" applyNumberFormat="1" applyFont="1" applyFill="1" applyBorder="1" applyAlignment="1">
      <alignment horizontal="center" wrapText="1"/>
    </xf>
    <xf numFmtId="38" fontId="40" fillId="0" borderId="53" xfId="4" applyNumberFormat="1" applyFont="1" applyFill="1" applyBorder="1" applyAlignment="1">
      <alignment horizontal="center" wrapText="1"/>
    </xf>
    <xf numFmtId="38" fontId="40" fillId="12" borderId="40" xfId="4" applyNumberFormat="1" applyFont="1" applyFill="1" applyBorder="1" applyAlignment="1">
      <alignment horizontal="center" wrapText="1"/>
    </xf>
    <xf numFmtId="171" fontId="40" fillId="0" borderId="53" xfId="4" applyNumberFormat="1" applyFont="1" applyFill="1" applyBorder="1" applyAlignment="1">
      <alignment horizontal="center" wrapText="1"/>
    </xf>
    <xf numFmtId="38" fontId="40" fillId="0" borderId="29" xfId="4" applyNumberFormat="1" applyFont="1" applyFill="1" applyBorder="1" applyAlignment="1">
      <alignment horizontal="center" wrapText="1"/>
    </xf>
    <xf numFmtId="38" fontId="40" fillId="13" borderId="53" xfId="4" applyNumberFormat="1" applyFont="1" applyFill="1" applyBorder="1" applyAlignment="1">
      <alignment horizontal="center" wrapText="1"/>
    </xf>
    <xf numFmtId="38" fontId="40" fillId="12" borderId="54" xfId="4" applyNumberFormat="1" applyFont="1" applyFill="1" applyBorder="1" applyAlignment="1">
      <alignment horizontal="center" wrapText="1"/>
    </xf>
    <xf numFmtId="38" fontId="40" fillId="11" borderId="54" xfId="4" applyNumberFormat="1" applyFont="1" applyFill="1" applyBorder="1" applyAlignment="1">
      <alignment horizontal="center" wrapText="1"/>
    </xf>
    <xf numFmtId="38" fontId="40" fillId="11" borderId="8" xfId="4" applyNumberFormat="1" applyFont="1" applyFill="1" applyBorder="1" applyAlignment="1">
      <alignment horizontal="center" wrapText="1"/>
    </xf>
    <xf numFmtId="37" fontId="40" fillId="0" borderId="0" xfId="3" applyFont="1" applyFill="1" applyBorder="1" applyAlignment="1">
      <alignment wrapText="1"/>
    </xf>
    <xf numFmtId="37" fontId="40" fillId="0" borderId="45" xfId="3" applyFont="1" applyFill="1" applyBorder="1" applyAlignment="1" applyProtection="1">
      <alignment wrapText="1"/>
      <protection locked="0"/>
    </xf>
    <xf numFmtId="171" fontId="40" fillId="0" borderId="38" xfId="4" quotePrefix="1" applyNumberFormat="1" applyFont="1" applyBorder="1" applyAlignment="1" applyProtection="1">
      <alignment horizontal="center"/>
      <protection locked="0"/>
    </xf>
    <xf numFmtId="38" fontId="40" fillId="0" borderId="28" xfId="4" applyNumberFormat="1" applyFont="1" applyFill="1" applyBorder="1" applyAlignment="1">
      <alignment horizontal="center" wrapText="1"/>
    </xf>
    <xf numFmtId="38" fontId="40" fillId="11" borderId="0" xfId="4" applyNumberFormat="1" applyFont="1" applyFill="1" applyBorder="1" applyAlignment="1">
      <alignment horizontal="center" wrapText="1"/>
    </xf>
    <xf numFmtId="38" fontId="40" fillId="13" borderId="28" xfId="4" applyNumberFormat="1" applyFont="1" applyFill="1" applyBorder="1" applyAlignment="1">
      <alignment horizontal="center" wrapText="1"/>
    </xf>
    <xf numFmtId="38" fontId="40" fillId="12" borderId="27" xfId="4" applyNumberFormat="1" applyFont="1" applyFill="1" applyBorder="1" applyAlignment="1">
      <alignment horizontal="center" wrapText="1"/>
    </xf>
    <xf numFmtId="38" fontId="40" fillId="11" borderId="27" xfId="4" applyNumberFormat="1" applyFont="1" applyFill="1" applyBorder="1" applyAlignment="1">
      <alignment horizontal="center" wrapText="1"/>
    </xf>
    <xf numFmtId="37" fontId="40" fillId="11" borderId="0" xfId="3" applyFont="1" applyFill="1" applyBorder="1" applyAlignment="1" applyProtection="1">
      <alignment wrapText="1"/>
      <protection locked="0"/>
    </xf>
    <xf numFmtId="37" fontId="40" fillId="11" borderId="3" xfId="3" applyFont="1" applyFill="1" applyBorder="1" applyAlignment="1" applyProtection="1">
      <alignment horizontal="right" wrapText="1"/>
      <protection locked="0"/>
    </xf>
    <xf numFmtId="37" fontId="40" fillId="11" borderId="0" xfId="3" applyFont="1" applyFill="1" applyBorder="1" applyAlignment="1" applyProtection="1">
      <alignment horizontal="right" wrapText="1"/>
      <protection locked="0"/>
    </xf>
    <xf numFmtId="37" fontId="40" fillId="0" borderId="0" xfId="3" applyFont="1" applyFill="1" applyBorder="1" applyAlignment="1" applyProtection="1">
      <alignment wrapText="1"/>
      <protection locked="0"/>
    </xf>
    <xf numFmtId="172" fontId="40" fillId="0" borderId="0" xfId="3" applyNumberFormat="1" applyFont="1" applyFill="1" applyBorder="1" applyAlignment="1" applyProtection="1">
      <alignment wrapText="1"/>
      <protection locked="0"/>
    </xf>
    <xf numFmtId="171" fontId="40" fillId="0" borderId="0" xfId="4" applyNumberFormat="1" applyFont="1" applyFill="1" applyBorder="1" applyAlignment="1">
      <alignment horizontal="center" wrapText="1"/>
    </xf>
    <xf numFmtId="171" fontId="40" fillId="11" borderId="0" xfId="4" applyNumberFormat="1" applyFont="1" applyFill="1" applyBorder="1" applyAlignment="1">
      <alignment horizontal="center" wrapText="1"/>
    </xf>
    <xf numFmtId="171" fontId="40" fillId="13" borderId="0" xfId="4" applyNumberFormat="1" applyFont="1" applyFill="1" applyBorder="1" applyAlignment="1">
      <alignment horizontal="center" wrapText="1"/>
    </xf>
    <xf numFmtId="40" fontId="43" fillId="11" borderId="0" xfId="3" applyNumberFormat="1" applyFont="1" applyFill="1" applyBorder="1"/>
    <xf numFmtId="37" fontId="40" fillId="0" borderId="0" xfId="3" applyFont="1" applyBorder="1" applyAlignment="1">
      <alignment wrapText="1"/>
    </xf>
    <xf numFmtId="171" fontId="43" fillId="0" borderId="0" xfId="4" applyNumberFormat="1" applyFont="1" applyFill="1" applyBorder="1" applyProtection="1">
      <protection locked="0"/>
    </xf>
    <xf numFmtId="171" fontId="43" fillId="11" borderId="0" xfId="4" applyNumberFormat="1" applyFont="1" applyFill="1" applyBorder="1" applyProtection="1">
      <protection locked="0"/>
    </xf>
    <xf numFmtId="171" fontId="43" fillId="14" borderId="0" xfId="4" applyNumberFormat="1" applyFont="1" applyFill="1" applyBorder="1" applyProtection="1">
      <protection locked="0"/>
    </xf>
    <xf numFmtId="171" fontId="43" fillId="0" borderId="0" xfId="4" applyNumberFormat="1" applyFont="1" applyFill="1" applyBorder="1"/>
    <xf numFmtId="37" fontId="44" fillId="0" borderId="0" xfId="3" applyFont="1" applyFill="1" applyBorder="1" applyAlignment="1"/>
    <xf numFmtId="37" fontId="40" fillId="0" borderId="0" xfId="3" applyFont="1" applyBorder="1" applyAlignment="1">
      <alignment horizontal="center" wrapText="1"/>
    </xf>
    <xf numFmtId="171" fontId="43" fillId="0" borderId="0" xfId="4" applyNumberFormat="1" applyFont="1" applyFill="1" applyBorder="1" applyAlignment="1" applyProtection="1">
      <alignment horizontal="center" wrapText="1"/>
      <protection locked="0"/>
    </xf>
    <xf numFmtId="171" fontId="43" fillId="11" borderId="0" xfId="4" applyNumberFormat="1" applyFont="1" applyFill="1" applyBorder="1" applyAlignment="1" applyProtection="1">
      <alignment horizontal="center" wrapText="1"/>
      <protection locked="0"/>
    </xf>
    <xf numFmtId="171" fontId="43" fillId="0" borderId="0" xfId="4" applyNumberFormat="1" applyFont="1" applyFill="1" applyBorder="1" applyAlignment="1">
      <alignment horizontal="center" wrapText="1"/>
    </xf>
    <xf numFmtId="37" fontId="45" fillId="0" borderId="0" xfId="3" applyFont="1" applyBorder="1" applyAlignment="1">
      <alignment wrapText="1"/>
    </xf>
    <xf numFmtId="37" fontId="40" fillId="0" borderId="0" xfId="3" applyFont="1" applyBorder="1" applyAlignment="1">
      <alignment horizontal="right" wrapText="1"/>
    </xf>
    <xf numFmtId="40" fontId="43" fillId="11" borderId="0" xfId="3" applyNumberFormat="1" applyFont="1" applyFill="1"/>
    <xf numFmtId="171" fontId="43" fillId="0" borderId="0" xfId="4" applyNumberFormat="1" applyFont="1" applyBorder="1"/>
    <xf numFmtId="37" fontId="43" fillId="0" borderId="0" xfId="3" applyFont="1" applyFill="1" applyBorder="1"/>
    <xf numFmtId="171" fontId="43" fillId="0" borderId="0" xfId="4" applyNumberFormat="1" applyFont="1" applyBorder="1" applyProtection="1">
      <protection locked="0"/>
    </xf>
    <xf numFmtId="37" fontId="40" fillId="3" borderId="24" xfId="3" applyFont="1" applyFill="1" applyBorder="1" applyAlignment="1">
      <alignment wrapText="1"/>
    </xf>
    <xf numFmtId="37" fontId="40" fillId="3" borderId="24" xfId="3" applyFont="1" applyFill="1" applyBorder="1" applyAlignment="1">
      <alignment horizontal="right" wrapText="1"/>
    </xf>
    <xf numFmtId="40" fontId="43" fillId="11" borderId="24" xfId="3" applyNumberFormat="1" applyFont="1" applyFill="1" applyBorder="1"/>
    <xf numFmtId="171" fontId="43" fillId="3" borderId="24" xfId="4" applyNumberFormat="1" applyFont="1" applyFill="1" applyBorder="1"/>
    <xf numFmtId="171" fontId="43" fillId="11" borderId="24" xfId="4" applyNumberFormat="1" applyFont="1" applyFill="1" applyBorder="1"/>
    <xf numFmtId="171" fontId="43" fillId="11" borderId="0" xfId="4" applyNumberFormat="1" applyFont="1" applyFill="1" applyBorder="1"/>
    <xf numFmtId="40" fontId="43" fillId="11" borderId="6" xfId="3" applyNumberFormat="1" applyFont="1" applyFill="1" applyBorder="1"/>
    <xf numFmtId="171" fontId="46" fillId="0" borderId="0" xfId="4" applyNumberFormat="1" applyFont="1" applyFill="1" applyBorder="1" applyProtection="1">
      <protection locked="0"/>
    </xf>
    <xf numFmtId="3" fontId="40" fillId="0" borderId="0" xfId="3" applyNumberFormat="1" applyFont="1" applyBorder="1" applyAlignment="1">
      <alignment horizontal="right" wrapText="1"/>
    </xf>
    <xf numFmtId="37" fontId="40" fillId="0" borderId="0" xfId="3" applyFont="1" applyFill="1" applyBorder="1" applyAlignment="1">
      <alignment horizontal="right" wrapText="1"/>
    </xf>
    <xf numFmtId="37" fontId="47" fillId="0" borderId="0" xfId="3" applyFont="1" applyFill="1" applyBorder="1"/>
    <xf numFmtId="37" fontId="48" fillId="0" borderId="0" xfId="3" applyFont="1" applyFill="1" applyBorder="1"/>
    <xf numFmtId="49" fontId="40" fillId="0" borderId="0" xfId="3" applyNumberFormat="1" applyFont="1" applyBorder="1" applyAlignment="1">
      <alignment horizontal="right" wrapText="1"/>
    </xf>
    <xf numFmtId="37" fontId="49" fillId="0" borderId="0" xfId="3" applyFont="1" applyFill="1" applyBorder="1" applyAlignment="1">
      <alignment horizontal="right"/>
    </xf>
    <xf numFmtId="43" fontId="28" fillId="0" borderId="0" xfId="5" applyFont="1"/>
    <xf numFmtId="37" fontId="28" fillId="0" borderId="0" xfId="3" applyFont="1"/>
    <xf numFmtId="39" fontId="28" fillId="0" borderId="0" xfId="3" applyNumberFormat="1" applyFont="1"/>
    <xf numFmtId="171" fontId="28" fillId="0" borderId="0" xfId="5" applyNumberFormat="1" applyFont="1"/>
    <xf numFmtId="171" fontId="28" fillId="0" borderId="0" xfId="3" applyNumberFormat="1" applyFont="1"/>
    <xf numFmtId="37" fontId="40" fillId="3" borderId="0" xfId="3" applyFont="1" applyFill="1" applyBorder="1" applyAlignment="1">
      <alignment wrapText="1"/>
    </xf>
    <xf numFmtId="37" fontId="40" fillId="3" borderId="0" xfId="3" applyFont="1" applyFill="1" applyBorder="1" applyAlignment="1">
      <alignment horizontal="right" wrapText="1"/>
    </xf>
    <xf numFmtId="171" fontId="43" fillId="3" borderId="0" xfId="4" applyNumberFormat="1" applyFont="1" applyFill="1" applyBorder="1"/>
    <xf numFmtId="2" fontId="28" fillId="0" borderId="0" xfId="3" applyNumberFormat="1" applyFont="1"/>
    <xf numFmtId="40" fontId="43" fillId="11" borderId="40" xfId="3" applyNumberFormat="1" applyFont="1" applyFill="1" applyBorder="1"/>
    <xf numFmtId="43" fontId="43" fillId="0" borderId="0" xfId="4" applyFont="1" applyBorder="1" applyAlignment="1" applyProtection="1">
      <alignment horizontal="right"/>
      <protection locked="0"/>
    </xf>
    <xf numFmtId="171" fontId="43" fillId="0" borderId="0" xfId="4" applyNumberFormat="1" applyFont="1" applyBorder="1" applyAlignment="1" applyProtection="1">
      <alignment horizontal="right"/>
      <protection locked="0"/>
    </xf>
    <xf numFmtId="171" fontId="43" fillId="0" borderId="0" xfId="4" applyNumberFormat="1" applyFont="1" applyFill="1" applyBorder="1" applyAlignment="1" applyProtection="1">
      <alignment horizontal="right"/>
      <protection locked="0"/>
    </xf>
    <xf numFmtId="43" fontId="43" fillId="0" borderId="0" xfId="4" applyFont="1" applyBorder="1"/>
    <xf numFmtId="43" fontId="43" fillId="11" borderId="0" xfId="4" applyFont="1" applyFill="1" applyBorder="1" applyProtection="1">
      <protection locked="0"/>
    </xf>
    <xf numFmtId="43" fontId="43" fillId="0" borderId="0" xfId="4" applyFont="1" applyBorder="1" applyProtection="1">
      <protection locked="0"/>
    </xf>
    <xf numFmtId="43" fontId="43" fillId="0" borderId="0" xfId="4" applyFont="1" applyFill="1" applyBorder="1" applyProtection="1">
      <protection locked="0"/>
    </xf>
    <xf numFmtId="40" fontId="43" fillId="11" borderId="14" xfId="3" applyNumberFormat="1" applyFont="1" applyFill="1" applyBorder="1"/>
    <xf numFmtId="49" fontId="40" fillId="0" borderId="0" xfId="3" applyNumberFormat="1" applyFont="1" applyFill="1" applyBorder="1" applyAlignment="1">
      <alignment horizontal="right" wrapText="1"/>
    </xf>
    <xf numFmtId="1" fontId="50" fillId="0" borderId="0" xfId="3" quotePrefix="1" applyNumberFormat="1" applyFont="1" applyAlignment="1" applyProtection="1">
      <alignment horizontal="left"/>
      <protection locked="0"/>
    </xf>
    <xf numFmtId="37" fontId="50" fillId="0" borderId="0" xfId="3" quotePrefix="1" applyFont="1" applyProtection="1">
      <protection locked="0"/>
    </xf>
    <xf numFmtId="37" fontId="50" fillId="0" borderId="0" xfId="3" applyFont="1" applyAlignment="1" applyProtection="1">
      <alignment horizontal="left"/>
      <protection locked="0"/>
    </xf>
    <xf numFmtId="37" fontId="50" fillId="0" borderId="0" xfId="3" applyFont="1" applyFill="1" applyBorder="1"/>
    <xf numFmtId="40" fontId="37" fillId="0" borderId="0" xfId="3" applyNumberFormat="1" applyFont="1" applyFill="1" applyBorder="1"/>
    <xf numFmtId="37" fontId="10" fillId="0" borderId="0" xfId="3" applyFont="1" applyFill="1" applyAlignment="1">
      <alignment wrapText="1"/>
    </xf>
    <xf numFmtId="37" fontId="9" fillId="0" borderId="0" xfId="3" applyFont="1" applyFill="1" applyAlignment="1">
      <alignment horizontal="right" wrapText="1"/>
    </xf>
    <xf numFmtId="40" fontId="37" fillId="0" borderId="0" xfId="3" applyNumberFormat="1" applyFont="1" applyFill="1"/>
    <xf numFmtId="41" fontId="51" fillId="0" borderId="0" xfId="3" applyNumberFormat="1" applyFont="1" applyAlignment="1">
      <alignment horizontal="center"/>
    </xf>
    <xf numFmtId="38" fontId="51" fillId="0" borderId="0" xfId="4" applyNumberFormat="1" applyFont="1" applyFill="1" applyBorder="1"/>
    <xf numFmtId="38" fontId="37" fillId="0" borderId="0" xfId="4" applyNumberFormat="1" applyFont="1" applyFill="1" applyBorder="1"/>
    <xf numFmtId="38" fontId="27" fillId="0" borderId="0" xfId="4" applyNumberFormat="1" applyFont="1" applyFill="1" applyBorder="1"/>
    <xf numFmtId="37" fontId="37" fillId="0" borderId="0" xfId="3" applyFont="1" applyFill="1" applyBorder="1" applyAlignment="1">
      <alignment horizontal="right"/>
    </xf>
    <xf numFmtId="43" fontId="37" fillId="0" borderId="0" xfId="4" applyFont="1" applyFill="1" applyBorder="1"/>
    <xf numFmtId="171" fontId="37" fillId="0" borderId="0" xfId="4" applyNumberFormat="1" applyFont="1" applyFill="1" applyBorder="1"/>
    <xf numFmtId="37" fontId="9" fillId="0" borderId="0" xfId="3" applyFont="1" applyAlignment="1">
      <alignment wrapText="1"/>
    </xf>
    <xf numFmtId="0" fontId="7" fillId="0" borderId="0" xfId="0" quotePrefix="1" applyFont="1"/>
    <xf numFmtId="0" fontId="5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37" fontId="1" fillId="0" borderId="9" xfId="0" applyNumberFormat="1" applyFont="1" applyFill="1" applyBorder="1"/>
    <xf numFmtId="37" fontId="1" fillId="0" borderId="0" xfId="0" applyNumberFormat="1" applyFont="1" applyFill="1" applyAlignment="1">
      <alignment horizontal="center"/>
    </xf>
    <xf numFmtId="37" fontId="1" fillId="0" borderId="10" xfId="0" applyNumberFormat="1" applyFont="1" applyFill="1" applyBorder="1" applyAlignment="1">
      <alignment horizontal="center"/>
    </xf>
    <xf numFmtId="37" fontId="1" fillId="0" borderId="9" xfId="0" applyNumberFormat="1" applyFont="1" applyFill="1" applyBorder="1" applyAlignment="1">
      <alignment horizontal="center"/>
    </xf>
    <xf numFmtId="37" fontId="1" fillId="0" borderId="27" xfId="0" applyNumberFormat="1" applyFont="1" applyFill="1" applyBorder="1" applyAlignment="1">
      <alignment horizontal="center"/>
    </xf>
    <xf numFmtId="37" fontId="1" fillId="0" borderId="9" xfId="0" applyNumberFormat="1" applyFont="1" applyFill="1" applyBorder="1" applyAlignment="1">
      <alignment horizontal="right"/>
    </xf>
    <xf numFmtId="37" fontId="1" fillId="0" borderId="10" xfId="0" applyNumberFormat="1" applyFont="1" applyFill="1" applyBorder="1" applyAlignment="1">
      <alignment horizontal="right"/>
    </xf>
    <xf numFmtId="37" fontId="1" fillId="0" borderId="4" xfId="0" applyNumberFormat="1" applyFont="1" applyFill="1" applyBorder="1" applyAlignment="1">
      <alignment horizontal="right"/>
    </xf>
    <xf numFmtId="37" fontId="1" fillId="0" borderId="3" xfId="0" applyNumberFormat="1" applyFont="1" applyFill="1" applyBorder="1" applyAlignment="1">
      <alignment horizontal="right"/>
    </xf>
    <xf numFmtId="37" fontId="0" fillId="0" borderId="27" xfId="0" applyNumberForma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0" fillId="0" borderId="0" xfId="0" applyFill="1"/>
    <xf numFmtId="37" fontId="0" fillId="0" borderId="10" xfId="0" applyNumberFormat="1" applyFill="1" applyBorder="1" applyAlignment="1">
      <alignment horizontal="right"/>
    </xf>
    <xf numFmtId="37" fontId="0" fillId="0" borderId="0" xfId="0" applyNumberFormat="1" applyFill="1" applyBorder="1" applyAlignment="1">
      <alignment horizontal="right"/>
    </xf>
    <xf numFmtId="37" fontId="0" fillId="0" borderId="13" xfId="0" applyNumberFormat="1" applyFill="1" applyBorder="1" applyAlignment="1">
      <alignment horizontal="right"/>
    </xf>
    <xf numFmtId="37" fontId="0" fillId="0" borderId="48" xfId="0" applyNumberFormat="1" applyFill="1" applyBorder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6" fillId="0" borderId="10" xfId="0" applyNumberFormat="1" applyFont="1" applyFill="1" applyBorder="1" applyAlignment="1">
      <alignment horizontal="right"/>
    </xf>
    <xf numFmtId="37" fontId="26" fillId="0" borderId="0" xfId="0" applyNumberFormat="1" applyFont="1" applyFill="1" applyBorder="1" applyAlignment="1">
      <alignment horizontal="right"/>
    </xf>
    <xf numFmtId="37" fontId="26" fillId="0" borderId="27" xfId="0" applyNumberFormat="1" applyFont="1" applyFill="1" applyBorder="1" applyAlignment="1">
      <alignment horizontal="right"/>
    </xf>
    <xf numFmtId="37" fontId="0" fillId="0" borderId="38" xfId="0" applyNumberFormat="1" applyFill="1" applyBorder="1" applyAlignment="1">
      <alignment horizontal="right"/>
    </xf>
    <xf numFmtId="37" fontId="0" fillId="0" borderId="52" xfId="0" applyNumberFormat="1" applyFill="1" applyBorder="1" applyAlignment="1">
      <alignment horizontal="right"/>
    </xf>
    <xf numFmtId="37" fontId="26" fillId="0" borderId="3" xfId="0" applyNumberFormat="1" applyFont="1" applyFill="1" applyBorder="1" applyAlignment="1">
      <alignment horizontal="right"/>
    </xf>
    <xf numFmtId="37" fontId="26" fillId="0" borderId="4" xfId="0" applyNumberFormat="1" applyFont="1" applyFill="1" applyBorder="1" applyAlignment="1">
      <alignment horizontal="right"/>
    </xf>
    <xf numFmtId="37" fontId="26" fillId="0" borderId="41" xfId="0" applyNumberFormat="1" applyFont="1" applyFill="1" applyBorder="1" applyAlignment="1">
      <alignment horizontal="right"/>
    </xf>
    <xf numFmtId="37" fontId="1" fillId="0" borderId="14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8" fontId="0" fillId="0" borderId="44" xfId="0" applyNumberFormat="1" applyFill="1" applyBorder="1" applyAlignment="1">
      <alignment horizontal="right"/>
    </xf>
    <xf numFmtId="38" fontId="0" fillId="0" borderId="0" xfId="0" applyNumberFormat="1" applyFill="1" applyBorder="1" applyAlignment="1">
      <alignment horizontal="right"/>
    </xf>
    <xf numFmtId="38" fontId="0" fillId="0" borderId="42" xfId="0" applyNumberFormat="1" applyFill="1" applyBorder="1" applyAlignment="1">
      <alignment horizontal="right"/>
    </xf>
    <xf numFmtId="0" fontId="14" fillId="0" borderId="0" xfId="0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21" fillId="7" borderId="0" xfId="0" applyFont="1" applyFill="1" applyAlignment="1">
      <alignment horizontal="center" textRotation="180"/>
    </xf>
    <xf numFmtId="0" fontId="13" fillId="0" borderId="0" xfId="0" applyFont="1" applyAlignment="1">
      <alignment horizontal="center"/>
    </xf>
    <xf numFmtId="0" fontId="22" fillId="7" borderId="0" xfId="0" applyFont="1" applyFill="1" applyAlignment="1">
      <alignment horizontal="center"/>
    </xf>
    <xf numFmtId="49" fontId="0" fillId="8" borderId="50" xfId="0" applyNumberFormat="1" applyFill="1" applyBorder="1" applyAlignment="1">
      <alignment horizontal="center"/>
    </xf>
    <xf numFmtId="49" fontId="0" fillId="8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Comma" xfId="2" builtinId="3"/>
    <cellStyle name="Comma 18" xfId="5" xr:uid="{AD85BCE1-FAA3-492D-A733-6CA5D3B77773}"/>
    <cellStyle name="Comma 2" xfId="4" xr:uid="{7B3739BD-3DB6-492C-8241-54D01F19BE7B}"/>
    <cellStyle name="Normal" xfId="0" builtinId="0"/>
    <cellStyle name="Normal 2" xfId="1" xr:uid="{38E34CF7-1F18-4D2F-92DB-82595BC488A9}"/>
    <cellStyle name="Normal 3" xfId="3" xr:uid="{433BE1E8-B342-4341-89EC-4FEA5C184589}"/>
  </cellStyles>
  <dxfs count="3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E5FF"/>
      <color rgb="FFB40000"/>
      <color rgb="FFCC0000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179916</xdr:colOff>
      <xdr:row>15</xdr:row>
      <xdr:rowOff>95250</xdr:rowOff>
    </xdr:from>
    <xdr:to>
      <xdr:col>20</xdr:col>
      <xdr:colOff>544491</xdr:colOff>
      <xdr:row>17</xdr:row>
      <xdr:rowOff>188299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11BE2A30-3931-4C0B-B0B0-B13E34252352}"/>
            </a:ext>
          </a:extLst>
        </xdr:cNvPr>
        <xdr:cNvSpPr/>
      </xdr:nvSpPr>
      <xdr:spPr>
        <a:xfrm>
          <a:off x="7725833" y="2688167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243416</xdr:colOff>
      <xdr:row>27</xdr:row>
      <xdr:rowOff>74083</xdr:rowOff>
    </xdr:from>
    <xdr:to>
      <xdr:col>20</xdr:col>
      <xdr:colOff>607991</xdr:colOff>
      <xdr:row>29</xdr:row>
      <xdr:rowOff>167132</xdr:rowOff>
    </xdr:to>
    <xdr:sp macro="" textlink="">
      <xdr:nvSpPr>
        <xdr:cNvPr id="3" name="Arrow: Left 2" descr="decorative arrow">
          <a:extLst>
            <a:ext uri="{FF2B5EF4-FFF2-40B4-BE49-F238E27FC236}">
              <a16:creationId xmlns:a16="http://schemas.microsoft.com/office/drawing/2014/main" id="{426F7F6C-0E6D-4B3C-AAD0-12DE444BB46B}"/>
            </a:ext>
          </a:extLst>
        </xdr:cNvPr>
        <xdr:cNvSpPr/>
      </xdr:nvSpPr>
      <xdr:spPr>
        <a:xfrm>
          <a:off x="7789333" y="4773083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158750</xdr:colOff>
      <xdr:row>8</xdr:row>
      <xdr:rowOff>158749</xdr:rowOff>
    </xdr:from>
    <xdr:to>
      <xdr:col>20</xdr:col>
      <xdr:colOff>523325</xdr:colOff>
      <xdr:row>11</xdr:row>
      <xdr:rowOff>85428</xdr:rowOff>
    </xdr:to>
    <xdr:sp macro="" textlink="">
      <xdr:nvSpPr>
        <xdr:cNvPr id="4" name="Arrow: Left 3" descr="decorative arrow">
          <a:extLst>
            <a:ext uri="{FF2B5EF4-FFF2-40B4-BE49-F238E27FC236}">
              <a16:creationId xmlns:a16="http://schemas.microsoft.com/office/drawing/2014/main" id="{970C6B5E-0DEA-415E-898F-EA25B2993E77}"/>
            </a:ext>
          </a:extLst>
        </xdr:cNvPr>
        <xdr:cNvSpPr/>
      </xdr:nvSpPr>
      <xdr:spPr>
        <a:xfrm>
          <a:off x="7895167" y="1354666"/>
          <a:ext cx="978408" cy="466429"/>
        </a:xfrm>
        <a:prstGeom prst="left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232833</xdr:colOff>
      <xdr:row>36</xdr:row>
      <xdr:rowOff>17357</xdr:rowOff>
    </xdr:from>
    <xdr:to>
      <xdr:col>20</xdr:col>
      <xdr:colOff>599313</xdr:colOff>
      <xdr:row>38</xdr:row>
      <xdr:rowOff>141098</xdr:rowOff>
    </xdr:to>
    <xdr:sp macro="" textlink="">
      <xdr:nvSpPr>
        <xdr:cNvPr id="6" name="Arrow: Left 5" descr="decorative arrow">
          <a:extLst>
            <a:ext uri="{FF2B5EF4-FFF2-40B4-BE49-F238E27FC236}">
              <a16:creationId xmlns:a16="http://schemas.microsoft.com/office/drawing/2014/main" id="{F138FDD0-01D2-4A59-B091-E68B25F80E9B}"/>
            </a:ext>
          </a:extLst>
        </xdr:cNvPr>
        <xdr:cNvSpPr/>
      </xdr:nvSpPr>
      <xdr:spPr>
        <a:xfrm>
          <a:off x="7969250" y="6113357"/>
          <a:ext cx="980313" cy="50474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238125</xdr:colOff>
      <xdr:row>44</xdr:row>
      <xdr:rowOff>85725</xdr:rowOff>
    </xdr:from>
    <xdr:to>
      <xdr:col>20</xdr:col>
      <xdr:colOff>598890</xdr:colOff>
      <xdr:row>47</xdr:row>
      <xdr:rowOff>38016</xdr:rowOff>
    </xdr:to>
    <xdr:sp macro="" textlink="">
      <xdr:nvSpPr>
        <xdr:cNvPr id="7" name="Arrow: Left 6" descr="decorative arrow">
          <a:extLst>
            <a:ext uri="{FF2B5EF4-FFF2-40B4-BE49-F238E27FC236}">
              <a16:creationId xmlns:a16="http://schemas.microsoft.com/office/drawing/2014/main" id="{02AEA8A3-3573-4A77-80C8-4436C3704BA8}"/>
            </a:ext>
          </a:extLst>
        </xdr:cNvPr>
        <xdr:cNvSpPr/>
      </xdr:nvSpPr>
      <xdr:spPr>
        <a:xfrm>
          <a:off x="8972550" y="7553325"/>
          <a:ext cx="970365" cy="49521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531495</xdr:colOff>
      <xdr:row>38</xdr:row>
      <xdr:rowOff>173355</xdr:rowOff>
    </xdr:from>
    <xdr:to>
      <xdr:col>22</xdr:col>
      <xdr:colOff>602700</xdr:colOff>
      <xdr:row>41</xdr:row>
      <xdr:rowOff>40005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F54B0762-DFB2-4A2F-90E7-06DB7F85D2D8}"/>
            </a:ext>
          </a:extLst>
        </xdr:cNvPr>
        <xdr:cNvSpPr/>
      </xdr:nvSpPr>
      <xdr:spPr>
        <a:xfrm>
          <a:off x="11228070" y="6469380"/>
          <a:ext cx="966555" cy="4286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520065</xdr:colOff>
      <xdr:row>41</xdr:row>
      <xdr:rowOff>24765</xdr:rowOff>
    </xdr:from>
    <xdr:to>
      <xdr:col>22</xdr:col>
      <xdr:colOff>596985</xdr:colOff>
      <xdr:row>43</xdr:row>
      <xdr:rowOff>66675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434D470E-B435-4BEC-BD1F-C1650453BC88}"/>
            </a:ext>
          </a:extLst>
        </xdr:cNvPr>
        <xdr:cNvSpPr/>
      </xdr:nvSpPr>
      <xdr:spPr>
        <a:xfrm>
          <a:off x="10930890" y="9892665"/>
          <a:ext cx="953220" cy="43243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520065</xdr:colOff>
      <xdr:row>42</xdr:row>
      <xdr:rowOff>24765</xdr:rowOff>
    </xdr:from>
    <xdr:to>
      <xdr:col>22</xdr:col>
      <xdr:colOff>596985</xdr:colOff>
      <xdr:row>44</xdr:row>
      <xdr:rowOff>66675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5AADD539-F994-4AD7-9809-7AD15997B100}"/>
            </a:ext>
          </a:extLst>
        </xdr:cNvPr>
        <xdr:cNvSpPr/>
      </xdr:nvSpPr>
      <xdr:spPr>
        <a:xfrm>
          <a:off x="10911840" y="5882640"/>
          <a:ext cx="972270" cy="42291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520065</xdr:colOff>
      <xdr:row>42</xdr:row>
      <xdr:rowOff>24765</xdr:rowOff>
    </xdr:from>
    <xdr:to>
      <xdr:col>22</xdr:col>
      <xdr:colOff>596985</xdr:colOff>
      <xdr:row>44</xdr:row>
      <xdr:rowOff>66675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DDADA36A-A87F-46E4-A956-E35F1CF6EE7F}"/>
            </a:ext>
          </a:extLst>
        </xdr:cNvPr>
        <xdr:cNvSpPr/>
      </xdr:nvSpPr>
      <xdr:spPr>
        <a:xfrm>
          <a:off x="10930890" y="9892665"/>
          <a:ext cx="953220" cy="43243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573405</xdr:colOff>
      <xdr:row>31</xdr:row>
      <xdr:rowOff>144780</xdr:rowOff>
    </xdr:from>
    <xdr:to>
      <xdr:col>23</xdr:col>
      <xdr:colOff>27390</xdr:colOff>
      <xdr:row>34</xdr:row>
      <xdr:rowOff>74211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3C002DF4-941B-4307-88A6-C48BA177783E}"/>
            </a:ext>
          </a:extLst>
        </xdr:cNvPr>
        <xdr:cNvSpPr/>
      </xdr:nvSpPr>
      <xdr:spPr>
        <a:xfrm>
          <a:off x="10469880" y="5821680"/>
          <a:ext cx="958935" cy="5009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46</xdr:row>
      <xdr:rowOff>64771</xdr:rowOff>
    </xdr:from>
    <xdr:to>
      <xdr:col>15</xdr:col>
      <xdr:colOff>567690</xdr:colOff>
      <xdr:row>48</xdr:row>
      <xdr:rowOff>125731</xdr:rowOff>
    </xdr:to>
    <xdr:sp macro="" textlink="">
      <xdr:nvSpPr>
        <xdr:cNvPr id="2" name="Arrow: Left 1" descr="decorative arrow ">
          <a:extLst>
            <a:ext uri="{FF2B5EF4-FFF2-40B4-BE49-F238E27FC236}">
              <a16:creationId xmlns:a16="http://schemas.microsoft.com/office/drawing/2014/main" id="{D6C0A96E-0949-42B3-A0F3-3D3BA775CC20}"/>
            </a:ext>
          </a:extLst>
        </xdr:cNvPr>
        <xdr:cNvSpPr/>
      </xdr:nvSpPr>
      <xdr:spPr>
        <a:xfrm>
          <a:off x="8477250" y="8446771"/>
          <a:ext cx="739140" cy="337185"/>
        </a:xfrm>
        <a:prstGeom prst="leftArrow">
          <a:avLst>
            <a:gd name="adj1" fmla="val 50000"/>
            <a:gd name="adj2" fmla="val 5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443865</xdr:colOff>
      <xdr:row>21</xdr:row>
      <xdr:rowOff>57150</xdr:rowOff>
    </xdr:from>
    <xdr:to>
      <xdr:col>15</xdr:col>
      <xdr:colOff>493395</xdr:colOff>
      <xdr:row>23</xdr:row>
      <xdr:rowOff>174964</xdr:rowOff>
    </xdr:to>
    <xdr:sp macro="" textlink="">
      <xdr:nvSpPr>
        <xdr:cNvPr id="3" name="Arrow: Left 2" descr="decorative arrow">
          <a:extLst>
            <a:ext uri="{FF2B5EF4-FFF2-40B4-BE49-F238E27FC236}">
              <a16:creationId xmlns:a16="http://schemas.microsoft.com/office/drawing/2014/main" id="{E997DF28-E76B-4B05-ADF9-D3D898795512}"/>
            </a:ext>
          </a:extLst>
        </xdr:cNvPr>
        <xdr:cNvSpPr/>
      </xdr:nvSpPr>
      <xdr:spPr>
        <a:xfrm>
          <a:off x="8482965" y="3790950"/>
          <a:ext cx="659130" cy="47976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8</xdr:row>
      <xdr:rowOff>66675</xdr:rowOff>
    </xdr:from>
    <xdr:to>
      <xdr:col>14</xdr:col>
      <xdr:colOff>403098</xdr:colOff>
      <xdr:row>11</xdr:row>
      <xdr:rowOff>51139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8D8A960D-6BDB-412E-9892-124779C1D99F}"/>
            </a:ext>
          </a:extLst>
        </xdr:cNvPr>
        <xdr:cNvSpPr/>
      </xdr:nvSpPr>
      <xdr:spPr>
        <a:xfrm>
          <a:off x="8267700" y="1276350"/>
          <a:ext cx="974598" cy="50833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19</xdr:row>
      <xdr:rowOff>140970</xdr:rowOff>
    </xdr:from>
    <xdr:to>
      <xdr:col>14</xdr:col>
      <xdr:colOff>26670</xdr:colOff>
      <xdr:row>21</xdr:row>
      <xdr:rowOff>133350</xdr:rowOff>
    </xdr:to>
    <xdr:sp macro="" textlink="">
      <xdr:nvSpPr>
        <xdr:cNvPr id="3" name="Arrow: Left 2" descr="decorative arrow">
          <a:extLst>
            <a:ext uri="{FF2B5EF4-FFF2-40B4-BE49-F238E27FC236}">
              <a16:creationId xmlns:a16="http://schemas.microsoft.com/office/drawing/2014/main" id="{E524E7CE-64EA-4222-B832-50FB2A113218}"/>
            </a:ext>
          </a:extLst>
        </xdr:cNvPr>
        <xdr:cNvSpPr/>
      </xdr:nvSpPr>
      <xdr:spPr>
        <a:xfrm>
          <a:off x="8229600" y="3246120"/>
          <a:ext cx="636270" cy="33528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523875</xdr:colOff>
      <xdr:row>13</xdr:row>
      <xdr:rowOff>123825</xdr:rowOff>
    </xdr:from>
    <xdr:to>
      <xdr:col>14</xdr:col>
      <xdr:colOff>279273</xdr:colOff>
      <xdr:row>16</xdr:row>
      <xdr:rowOff>127339</xdr:rowOff>
    </xdr:to>
    <xdr:sp macro="" textlink="">
      <xdr:nvSpPr>
        <xdr:cNvPr id="7" name="Arrow: Left 6" descr="decorative arrow">
          <a:extLst>
            <a:ext uri="{FF2B5EF4-FFF2-40B4-BE49-F238E27FC236}">
              <a16:creationId xmlns:a16="http://schemas.microsoft.com/office/drawing/2014/main" id="{51E474EF-4FD3-4273-A605-76A05F3FD770}"/>
            </a:ext>
          </a:extLst>
        </xdr:cNvPr>
        <xdr:cNvSpPr/>
      </xdr:nvSpPr>
      <xdr:spPr>
        <a:xfrm>
          <a:off x="8143875" y="2200275"/>
          <a:ext cx="974598" cy="517864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3809</xdr:colOff>
      <xdr:row>23</xdr:row>
      <xdr:rowOff>131445</xdr:rowOff>
    </xdr:from>
    <xdr:to>
      <xdr:col>14</xdr:col>
      <xdr:colOff>26669</xdr:colOff>
      <xdr:row>25</xdr:row>
      <xdr:rowOff>1</xdr:rowOff>
    </xdr:to>
    <xdr:sp macro="" textlink="">
      <xdr:nvSpPr>
        <xdr:cNvPr id="6" name="Arrow: Left 5" descr="decorative arrow">
          <a:extLst>
            <a:ext uri="{FF2B5EF4-FFF2-40B4-BE49-F238E27FC236}">
              <a16:creationId xmlns:a16="http://schemas.microsoft.com/office/drawing/2014/main" id="{C72727CF-7501-477F-AD13-3B64343A522C}"/>
            </a:ext>
          </a:extLst>
        </xdr:cNvPr>
        <xdr:cNvSpPr/>
      </xdr:nvSpPr>
      <xdr:spPr>
        <a:xfrm>
          <a:off x="8233409" y="3922395"/>
          <a:ext cx="632460" cy="211456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25</xdr:row>
      <xdr:rowOff>102870</xdr:rowOff>
    </xdr:from>
    <xdr:to>
      <xdr:col>14</xdr:col>
      <xdr:colOff>20955</xdr:colOff>
      <xdr:row>27</xdr:row>
      <xdr:rowOff>76200</xdr:rowOff>
    </xdr:to>
    <xdr:sp macro="" textlink="">
      <xdr:nvSpPr>
        <xdr:cNvPr id="8" name="Arrow: Left 7" descr="decorative arrow">
          <a:extLst>
            <a:ext uri="{FF2B5EF4-FFF2-40B4-BE49-F238E27FC236}">
              <a16:creationId xmlns:a16="http://schemas.microsoft.com/office/drawing/2014/main" id="{C2B2BB2C-D6AF-4BDA-A330-91D65E971B01}"/>
            </a:ext>
          </a:extLst>
        </xdr:cNvPr>
        <xdr:cNvSpPr/>
      </xdr:nvSpPr>
      <xdr:spPr>
        <a:xfrm>
          <a:off x="8229600" y="4236720"/>
          <a:ext cx="630555" cy="31623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596265</xdr:colOff>
      <xdr:row>29</xdr:row>
      <xdr:rowOff>133350</xdr:rowOff>
    </xdr:from>
    <xdr:to>
      <xdr:col>14</xdr:col>
      <xdr:colOff>19050</xdr:colOff>
      <xdr:row>31</xdr:row>
      <xdr:rowOff>30480</xdr:rowOff>
    </xdr:to>
    <xdr:sp macro="" textlink="">
      <xdr:nvSpPr>
        <xdr:cNvPr id="9" name="Arrow: Left 8" descr="decorative arrow">
          <a:extLst>
            <a:ext uri="{FF2B5EF4-FFF2-40B4-BE49-F238E27FC236}">
              <a16:creationId xmlns:a16="http://schemas.microsoft.com/office/drawing/2014/main" id="{C2F57418-B5A9-4E05-A33E-23FC020BFBB4}"/>
            </a:ext>
          </a:extLst>
        </xdr:cNvPr>
        <xdr:cNvSpPr/>
      </xdr:nvSpPr>
      <xdr:spPr>
        <a:xfrm>
          <a:off x="8216265" y="4953000"/>
          <a:ext cx="641985" cy="24003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0</xdr:rowOff>
    </xdr:from>
    <xdr:to>
      <xdr:col>14</xdr:col>
      <xdr:colOff>20955</xdr:colOff>
      <xdr:row>34</xdr:row>
      <xdr:rowOff>19050</xdr:rowOff>
    </xdr:to>
    <xdr:sp macro="" textlink="">
      <xdr:nvSpPr>
        <xdr:cNvPr id="10" name="Arrow: Left 9" descr="decorative arrow">
          <a:extLst>
            <a:ext uri="{FF2B5EF4-FFF2-40B4-BE49-F238E27FC236}">
              <a16:creationId xmlns:a16="http://schemas.microsoft.com/office/drawing/2014/main" id="{F0CA40D1-E460-4F4A-801D-9859F9B998FB}"/>
            </a:ext>
          </a:extLst>
        </xdr:cNvPr>
        <xdr:cNvSpPr/>
      </xdr:nvSpPr>
      <xdr:spPr>
        <a:xfrm>
          <a:off x="8229600" y="5334000"/>
          <a:ext cx="630555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571500</xdr:colOff>
      <xdr:row>37</xdr:row>
      <xdr:rowOff>106680</xdr:rowOff>
    </xdr:from>
    <xdr:to>
      <xdr:col>13</xdr:col>
      <xdr:colOff>592455</xdr:colOff>
      <xdr:row>39</xdr:row>
      <xdr:rowOff>116205</xdr:rowOff>
    </xdr:to>
    <xdr:sp macro="" textlink="">
      <xdr:nvSpPr>
        <xdr:cNvPr id="11" name="Arrow: Left 10" descr="decorative arrow">
          <a:extLst>
            <a:ext uri="{FF2B5EF4-FFF2-40B4-BE49-F238E27FC236}">
              <a16:creationId xmlns:a16="http://schemas.microsoft.com/office/drawing/2014/main" id="{F81A8F09-E608-420B-97A2-BFAF784288A3}"/>
            </a:ext>
          </a:extLst>
        </xdr:cNvPr>
        <xdr:cNvSpPr/>
      </xdr:nvSpPr>
      <xdr:spPr>
        <a:xfrm>
          <a:off x="8191500" y="6297930"/>
          <a:ext cx="630555" cy="3524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44</xdr:row>
      <xdr:rowOff>57150</xdr:rowOff>
    </xdr:from>
    <xdr:to>
      <xdr:col>14</xdr:col>
      <xdr:colOff>20955</xdr:colOff>
      <xdr:row>46</xdr:row>
      <xdr:rowOff>15240</xdr:rowOff>
    </xdr:to>
    <xdr:sp macro="" textlink="">
      <xdr:nvSpPr>
        <xdr:cNvPr id="12" name="Arrow: Left 11" descr="decorative arrow">
          <a:extLst>
            <a:ext uri="{FF2B5EF4-FFF2-40B4-BE49-F238E27FC236}">
              <a16:creationId xmlns:a16="http://schemas.microsoft.com/office/drawing/2014/main" id="{F7A06B8F-D7A3-4A83-9FC5-066335E61C10}"/>
            </a:ext>
          </a:extLst>
        </xdr:cNvPr>
        <xdr:cNvSpPr/>
      </xdr:nvSpPr>
      <xdr:spPr>
        <a:xfrm>
          <a:off x="8229600" y="7448550"/>
          <a:ext cx="630555" cy="30099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26670</xdr:colOff>
      <xdr:row>35</xdr:row>
      <xdr:rowOff>150495</xdr:rowOff>
    </xdr:from>
    <xdr:to>
      <xdr:col>14</xdr:col>
      <xdr:colOff>43815</xdr:colOff>
      <xdr:row>37</xdr:row>
      <xdr:rowOff>11430</xdr:rowOff>
    </xdr:to>
    <xdr:sp macro="" textlink="">
      <xdr:nvSpPr>
        <xdr:cNvPr id="13" name="Arrow: Left 12" descr="decorative arrow">
          <a:extLst>
            <a:ext uri="{FF2B5EF4-FFF2-40B4-BE49-F238E27FC236}">
              <a16:creationId xmlns:a16="http://schemas.microsoft.com/office/drawing/2014/main" id="{40202505-D771-4EE7-8333-D19F949FCE8E}"/>
            </a:ext>
          </a:extLst>
        </xdr:cNvPr>
        <xdr:cNvSpPr/>
      </xdr:nvSpPr>
      <xdr:spPr>
        <a:xfrm>
          <a:off x="8256270" y="5998845"/>
          <a:ext cx="626745" cy="203835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114300</xdr:rowOff>
    </xdr:from>
    <xdr:to>
      <xdr:col>14</xdr:col>
      <xdr:colOff>20955</xdr:colOff>
      <xdr:row>43</xdr:row>
      <xdr:rowOff>49530</xdr:rowOff>
    </xdr:to>
    <xdr:sp macro="" textlink="">
      <xdr:nvSpPr>
        <xdr:cNvPr id="14" name="Arrow: Left 13" descr="decorative arrow">
          <a:extLst>
            <a:ext uri="{FF2B5EF4-FFF2-40B4-BE49-F238E27FC236}">
              <a16:creationId xmlns:a16="http://schemas.microsoft.com/office/drawing/2014/main" id="{B347916B-709E-4880-835A-AAE5B1F1C732}"/>
            </a:ext>
          </a:extLst>
        </xdr:cNvPr>
        <xdr:cNvSpPr/>
      </xdr:nvSpPr>
      <xdr:spPr>
        <a:xfrm>
          <a:off x="8229600" y="6991350"/>
          <a:ext cx="630555" cy="27813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49</xdr:row>
      <xdr:rowOff>0</xdr:rowOff>
    </xdr:from>
    <xdr:to>
      <xdr:col>14</xdr:col>
      <xdr:colOff>20955</xdr:colOff>
      <xdr:row>50</xdr:row>
      <xdr:rowOff>38100</xdr:rowOff>
    </xdr:to>
    <xdr:sp macro="" textlink="">
      <xdr:nvSpPr>
        <xdr:cNvPr id="15" name="Arrow: Left 14" descr="decorative arrow">
          <a:extLst>
            <a:ext uri="{FF2B5EF4-FFF2-40B4-BE49-F238E27FC236}">
              <a16:creationId xmlns:a16="http://schemas.microsoft.com/office/drawing/2014/main" id="{D3EF8219-8C96-47F7-875B-597216F2C6DE}"/>
            </a:ext>
          </a:extLst>
        </xdr:cNvPr>
        <xdr:cNvSpPr/>
      </xdr:nvSpPr>
      <xdr:spPr>
        <a:xfrm>
          <a:off x="8229600" y="8248650"/>
          <a:ext cx="630555" cy="20955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55</xdr:row>
      <xdr:rowOff>0</xdr:rowOff>
    </xdr:from>
    <xdr:to>
      <xdr:col>14</xdr:col>
      <xdr:colOff>20955</xdr:colOff>
      <xdr:row>56</xdr:row>
      <xdr:rowOff>38100</xdr:rowOff>
    </xdr:to>
    <xdr:sp macro="" textlink="">
      <xdr:nvSpPr>
        <xdr:cNvPr id="16" name="Arrow: Left 15" descr="decorative arrow">
          <a:extLst>
            <a:ext uri="{FF2B5EF4-FFF2-40B4-BE49-F238E27FC236}">
              <a16:creationId xmlns:a16="http://schemas.microsoft.com/office/drawing/2014/main" id="{17DBCCE4-F05A-4112-B255-7FD92ABE64E3}"/>
            </a:ext>
          </a:extLst>
        </xdr:cNvPr>
        <xdr:cNvSpPr/>
      </xdr:nvSpPr>
      <xdr:spPr>
        <a:xfrm>
          <a:off x="8229600" y="9277350"/>
          <a:ext cx="630555" cy="20955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61</xdr:row>
      <xdr:rowOff>0</xdr:rowOff>
    </xdr:from>
    <xdr:to>
      <xdr:col>14</xdr:col>
      <xdr:colOff>20955</xdr:colOff>
      <xdr:row>62</xdr:row>
      <xdr:rowOff>38100</xdr:rowOff>
    </xdr:to>
    <xdr:sp macro="" textlink="">
      <xdr:nvSpPr>
        <xdr:cNvPr id="17" name="Arrow: Left 16" descr="decorative arrow">
          <a:extLst>
            <a:ext uri="{FF2B5EF4-FFF2-40B4-BE49-F238E27FC236}">
              <a16:creationId xmlns:a16="http://schemas.microsoft.com/office/drawing/2014/main" id="{EB626A82-EFF2-4898-B86D-C74ED2B999F4}"/>
            </a:ext>
          </a:extLst>
        </xdr:cNvPr>
        <xdr:cNvSpPr/>
      </xdr:nvSpPr>
      <xdr:spPr>
        <a:xfrm>
          <a:off x="8229600" y="10306050"/>
          <a:ext cx="630555" cy="20955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67</xdr:row>
      <xdr:rowOff>0</xdr:rowOff>
    </xdr:from>
    <xdr:to>
      <xdr:col>14</xdr:col>
      <xdr:colOff>20955</xdr:colOff>
      <xdr:row>68</xdr:row>
      <xdr:rowOff>38100</xdr:rowOff>
    </xdr:to>
    <xdr:sp macro="" textlink="">
      <xdr:nvSpPr>
        <xdr:cNvPr id="18" name="Arrow: Left 17" descr="decorative arrow">
          <a:extLst>
            <a:ext uri="{FF2B5EF4-FFF2-40B4-BE49-F238E27FC236}">
              <a16:creationId xmlns:a16="http://schemas.microsoft.com/office/drawing/2014/main" id="{EFBBE414-8243-4749-BEF8-42624AECBFE7}"/>
            </a:ext>
          </a:extLst>
        </xdr:cNvPr>
        <xdr:cNvSpPr/>
      </xdr:nvSpPr>
      <xdr:spPr>
        <a:xfrm>
          <a:off x="8229600" y="11334750"/>
          <a:ext cx="630555" cy="20955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73</xdr:row>
      <xdr:rowOff>0</xdr:rowOff>
    </xdr:from>
    <xdr:to>
      <xdr:col>14</xdr:col>
      <xdr:colOff>20955</xdr:colOff>
      <xdr:row>80</xdr:row>
      <xdr:rowOff>38100</xdr:rowOff>
    </xdr:to>
    <xdr:sp macro="" textlink="">
      <xdr:nvSpPr>
        <xdr:cNvPr id="19" name="Arrow: Left 18" descr="decorative arrow">
          <a:extLst>
            <a:ext uri="{FF2B5EF4-FFF2-40B4-BE49-F238E27FC236}">
              <a16:creationId xmlns:a16="http://schemas.microsoft.com/office/drawing/2014/main" id="{70920AA7-F384-4E67-848F-A5C942FEEE9E}"/>
            </a:ext>
          </a:extLst>
        </xdr:cNvPr>
        <xdr:cNvSpPr/>
      </xdr:nvSpPr>
      <xdr:spPr>
        <a:xfrm>
          <a:off x="8229600" y="12363450"/>
          <a:ext cx="630555" cy="20955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85</xdr:row>
      <xdr:rowOff>0</xdr:rowOff>
    </xdr:from>
    <xdr:to>
      <xdr:col>14</xdr:col>
      <xdr:colOff>20955</xdr:colOff>
      <xdr:row>86</xdr:row>
      <xdr:rowOff>28575</xdr:rowOff>
    </xdr:to>
    <xdr:sp macro="" textlink="">
      <xdr:nvSpPr>
        <xdr:cNvPr id="20" name="Arrow: Left 19" descr="decorative arrow">
          <a:extLst>
            <a:ext uri="{FF2B5EF4-FFF2-40B4-BE49-F238E27FC236}">
              <a16:creationId xmlns:a16="http://schemas.microsoft.com/office/drawing/2014/main" id="{0F2CF377-185D-46CE-9B73-F48EE93ED5AD}"/>
            </a:ext>
          </a:extLst>
        </xdr:cNvPr>
        <xdr:cNvSpPr/>
      </xdr:nvSpPr>
      <xdr:spPr>
        <a:xfrm>
          <a:off x="8229600" y="13458825"/>
          <a:ext cx="630555" cy="20955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51</xdr:row>
      <xdr:rowOff>0</xdr:rowOff>
    </xdr:from>
    <xdr:to>
      <xdr:col>14</xdr:col>
      <xdr:colOff>17145</xdr:colOff>
      <xdr:row>52</xdr:row>
      <xdr:rowOff>137160</xdr:rowOff>
    </xdr:to>
    <xdr:sp macro="" textlink="">
      <xdr:nvSpPr>
        <xdr:cNvPr id="21" name="Arrow: Left 20" descr="decorative arrow">
          <a:extLst>
            <a:ext uri="{FF2B5EF4-FFF2-40B4-BE49-F238E27FC236}">
              <a16:creationId xmlns:a16="http://schemas.microsoft.com/office/drawing/2014/main" id="{FF8DB125-5A22-4CB8-8C64-CC20D92C8EA1}"/>
            </a:ext>
          </a:extLst>
        </xdr:cNvPr>
        <xdr:cNvSpPr/>
      </xdr:nvSpPr>
      <xdr:spPr>
        <a:xfrm>
          <a:off x="8229600" y="8591550"/>
          <a:ext cx="626745" cy="30861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57</xdr:row>
      <xdr:rowOff>0</xdr:rowOff>
    </xdr:from>
    <xdr:to>
      <xdr:col>14</xdr:col>
      <xdr:colOff>17145</xdr:colOff>
      <xdr:row>58</xdr:row>
      <xdr:rowOff>137160</xdr:rowOff>
    </xdr:to>
    <xdr:sp macro="" textlink="">
      <xdr:nvSpPr>
        <xdr:cNvPr id="22" name="Arrow: Left 21" descr="decorative arrow">
          <a:extLst>
            <a:ext uri="{FF2B5EF4-FFF2-40B4-BE49-F238E27FC236}">
              <a16:creationId xmlns:a16="http://schemas.microsoft.com/office/drawing/2014/main" id="{BFB9EDD7-4E86-45EF-ADBD-7EDC80AAB103}"/>
            </a:ext>
          </a:extLst>
        </xdr:cNvPr>
        <xdr:cNvSpPr/>
      </xdr:nvSpPr>
      <xdr:spPr>
        <a:xfrm>
          <a:off x="8229600" y="9620250"/>
          <a:ext cx="626745" cy="30861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63</xdr:row>
      <xdr:rowOff>0</xdr:rowOff>
    </xdr:from>
    <xdr:to>
      <xdr:col>14</xdr:col>
      <xdr:colOff>17145</xdr:colOff>
      <xdr:row>64</xdr:row>
      <xdr:rowOff>137160</xdr:rowOff>
    </xdr:to>
    <xdr:sp macro="" textlink="">
      <xdr:nvSpPr>
        <xdr:cNvPr id="23" name="Arrow: Left 22" descr="decorative arrow">
          <a:extLst>
            <a:ext uri="{FF2B5EF4-FFF2-40B4-BE49-F238E27FC236}">
              <a16:creationId xmlns:a16="http://schemas.microsoft.com/office/drawing/2014/main" id="{81D7F2BA-A545-43A8-9751-847A1C728EE3}"/>
            </a:ext>
          </a:extLst>
        </xdr:cNvPr>
        <xdr:cNvSpPr/>
      </xdr:nvSpPr>
      <xdr:spPr>
        <a:xfrm>
          <a:off x="8229600" y="10648950"/>
          <a:ext cx="626745" cy="30861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69</xdr:row>
      <xdr:rowOff>0</xdr:rowOff>
    </xdr:from>
    <xdr:to>
      <xdr:col>14</xdr:col>
      <xdr:colOff>17145</xdr:colOff>
      <xdr:row>70</xdr:row>
      <xdr:rowOff>137160</xdr:rowOff>
    </xdr:to>
    <xdr:sp macro="" textlink="">
      <xdr:nvSpPr>
        <xdr:cNvPr id="24" name="Arrow: Left 23" descr="decorative arrow">
          <a:extLst>
            <a:ext uri="{FF2B5EF4-FFF2-40B4-BE49-F238E27FC236}">
              <a16:creationId xmlns:a16="http://schemas.microsoft.com/office/drawing/2014/main" id="{9310F09B-BD9C-4FBF-B073-89FA5DD9760A}"/>
            </a:ext>
          </a:extLst>
        </xdr:cNvPr>
        <xdr:cNvSpPr/>
      </xdr:nvSpPr>
      <xdr:spPr>
        <a:xfrm>
          <a:off x="8229600" y="11677650"/>
          <a:ext cx="626745" cy="30861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81</xdr:row>
      <xdr:rowOff>0</xdr:rowOff>
    </xdr:from>
    <xdr:to>
      <xdr:col>14</xdr:col>
      <xdr:colOff>17145</xdr:colOff>
      <xdr:row>82</xdr:row>
      <xdr:rowOff>127635</xdr:rowOff>
    </xdr:to>
    <xdr:sp macro="" textlink="">
      <xdr:nvSpPr>
        <xdr:cNvPr id="25" name="Arrow: Left 24" descr="decorative arrow">
          <a:extLst>
            <a:ext uri="{FF2B5EF4-FFF2-40B4-BE49-F238E27FC236}">
              <a16:creationId xmlns:a16="http://schemas.microsoft.com/office/drawing/2014/main" id="{6CFA097D-3A1A-4785-8672-9CEA47B173EF}"/>
            </a:ext>
          </a:extLst>
        </xdr:cNvPr>
        <xdr:cNvSpPr/>
      </xdr:nvSpPr>
      <xdr:spPr>
        <a:xfrm>
          <a:off x="8229600" y="12715875"/>
          <a:ext cx="626745" cy="30861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73</xdr:row>
      <xdr:rowOff>0</xdr:rowOff>
    </xdr:from>
    <xdr:to>
      <xdr:col>14</xdr:col>
      <xdr:colOff>20955</xdr:colOff>
      <xdr:row>74</xdr:row>
      <xdr:rowOff>38100</xdr:rowOff>
    </xdr:to>
    <xdr:sp macro="" textlink="">
      <xdr:nvSpPr>
        <xdr:cNvPr id="28" name="Arrow: Left 27" descr="decorative arrow">
          <a:extLst>
            <a:ext uri="{FF2B5EF4-FFF2-40B4-BE49-F238E27FC236}">
              <a16:creationId xmlns:a16="http://schemas.microsoft.com/office/drawing/2014/main" id="{0DFCE1B6-8CA1-44A6-BAD5-4D4787CD5908}"/>
            </a:ext>
          </a:extLst>
        </xdr:cNvPr>
        <xdr:cNvSpPr/>
      </xdr:nvSpPr>
      <xdr:spPr>
        <a:xfrm>
          <a:off x="8134350" y="11401425"/>
          <a:ext cx="630555" cy="209550"/>
        </a:xfrm>
        <a:prstGeom prst="lef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75</xdr:row>
      <xdr:rowOff>0</xdr:rowOff>
    </xdr:from>
    <xdr:to>
      <xdr:col>14</xdr:col>
      <xdr:colOff>17145</xdr:colOff>
      <xdr:row>76</xdr:row>
      <xdr:rowOff>137160</xdr:rowOff>
    </xdr:to>
    <xdr:sp macro="" textlink="">
      <xdr:nvSpPr>
        <xdr:cNvPr id="29" name="Arrow: Left 28" descr="decorative arrow">
          <a:extLst>
            <a:ext uri="{FF2B5EF4-FFF2-40B4-BE49-F238E27FC236}">
              <a16:creationId xmlns:a16="http://schemas.microsoft.com/office/drawing/2014/main" id="{ACAA4581-DAB9-4B1E-96E5-13659CC18BC2}"/>
            </a:ext>
          </a:extLst>
        </xdr:cNvPr>
        <xdr:cNvSpPr/>
      </xdr:nvSpPr>
      <xdr:spPr>
        <a:xfrm>
          <a:off x="8134350" y="11744325"/>
          <a:ext cx="626745" cy="30861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32</xdr:row>
      <xdr:rowOff>76200</xdr:rowOff>
    </xdr:from>
    <xdr:to>
      <xdr:col>22</xdr:col>
      <xdr:colOff>1905</xdr:colOff>
      <xdr:row>34</xdr:row>
      <xdr:rowOff>93345</xdr:rowOff>
    </xdr:to>
    <xdr:sp macro="" textlink="">
      <xdr:nvSpPr>
        <xdr:cNvPr id="3" name="Arrow: Left 2" descr="decorative arrow">
          <a:extLst>
            <a:ext uri="{FF2B5EF4-FFF2-40B4-BE49-F238E27FC236}">
              <a16:creationId xmlns:a16="http://schemas.microsoft.com/office/drawing/2014/main" id="{F7448CA3-E321-4E39-B16E-B100FD1B4E77}"/>
            </a:ext>
          </a:extLst>
        </xdr:cNvPr>
        <xdr:cNvSpPr/>
      </xdr:nvSpPr>
      <xdr:spPr>
        <a:xfrm>
          <a:off x="10601325" y="6057900"/>
          <a:ext cx="773430" cy="39814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43</xdr:row>
      <xdr:rowOff>57150</xdr:rowOff>
    </xdr:from>
    <xdr:to>
      <xdr:col>21</xdr:col>
      <xdr:colOff>790575</xdr:colOff>
      <xdr:row>45</xdr:row>
      <xdr:rowOff>78105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AD46161F-C954-4B10-9A65-72623D2C1E2B}"/>
            </a:ext>
          </a:extLst>
        </xdr:cNvPr>
        <xdr:cNvSpPr/>
      </xdr:nvSpPr>
      <xdr:spPr>
        <a:xfrm>
          <a:off x="10629900" y="8010525"/>
          <a:ext cx="781050" cy="401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640080</xdr:colOff>
      <xdr:row>33</xdr:row>
      <xdr:rowOff>7620</xdr:rowOff>
    </xdr:from>
    <xdr:to>
      <xdr:col>22</xdr:col>
      <xdr:colOff>525780</xdr:colOff>
      <xdr:row>35</xdr:row>
      <xdr:rowOff>66675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3A3480E5-BBE6-4812-BB79-1F179827208B}"/>
            </a:ext>
          </a:extLst>
        </xdr:cNvPr>
        <xdr:cNvSpPr/>
      </xdr:nvSpPr>
      <xdr:spPr>
        <a:xfrm>
          <a:off x="11098530" y="6351270"/>
          <a:ext cx="762000" cy="44958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35</xdr:row>
      <xdr:rowOff>49530</xdr:rowOff>
    </xdr:from>
    <xdr:to>
      <xdr:col>21</xdr:col>
      <xdr:colOff>866775</xdr:colOff>
      <xdr:row>37</xdr:row>
      <xdr:rowOff>91440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ED022FF9-83BC-4FA2-B1A9-987D3A44CCAE}"/>
            </a:ext>
          </a:extLst>
        </xdr:cNvPr>
        <xdr:cNvSpPr/>
      </xdr:nvSpPr>
      <xdr:spPr>
        <a:xfrm>
          <a:off x="10429875" y="6888480"/>
          <a:ext cx="781050" cy="41338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182880</xdr:colOff>
      <xdr:row>46</xdr:row>
      <xdr:rowOff>140970</xdr:rowOff>
    </xdr:from>
    <xdr:to>
      <xdr:col>22</xdr:col>
      <xdr:colOff>255990</xdr:colOff>
      <xdr:row>49</xdr:row>
      <xdr:rowOff>40005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6BA59A0A-4BC3-41D4-964F-8EA85E417A28}"/>
            </a:ext>
          </a:extLst>
        </xdr:cNvPr>
        <xdr:cNvSpPr/>
      </xdr:nvSpPr>
      <xdr:spPr>
        <a:xfrm>
          <a:off x="12879705" y="9799320"/>
          <a:ext cx="968460" cy="45148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640080</xdr:colOff>
      <xdr:row>33</xdr:row>
      <xdr:rowOff>7620</xdr:rowOff>
    </xdr:from>
    <xdr:to>
      <xdr:col>22</xdr:col>
      <xdr:colOff>525780</xdr:colOff>
      <xdr:row>35</xdr:row>
      <xdr:rowOff>66675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930A7F75-7AC1-45F5-A579-B10643BFAFCF}"/>
            </a:ext>
          </a:extLst>
        </xdr:cNvPr>
        <xdr:cNvSpPr/>
      </xdr:nvSpPr>
      <xdr:spPr>
        <a:xfrm>
          <a:off x="11212830" y="6094095"/>
          <a:ext cx="781050" cy="43053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548640</xdr:colOff>
      <xdr:row>32</xdr:row>
      <xdr:rowOff>182880</xdr:rowOff>
    </xdr:from>
    <xdr:to>
      <xdr:col>23</xdr:col>
      <xdr:colOff>15960</xdr:colOff>
      <xdr:row>35</xdr:row>
      <xdr:rowOff>68580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0A43B715-8C1E-4EC5-BEF7-BA3FE2FC1E9D}"/>
            </a:ext>
          </a:extLst>
        </xdr:cNvPr>
        <xdr:cNvSpPr/>
      </xdr:nvSpPr>
      <xdr:spPr>
        <a:xfrm>
          <a:off x="10892790" y="6040755"/>
          <a:ext cx="972270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552450</xdr:colOff>
      <xdr:row>32</xdr:row>
      <xdr:rowOff>180975</xdr:rowOff>
    </xdr:from>
    <xdr:to>
      <xdr:col>23</xdr:col>
      <xdr:colOff>15960</xdr:colOff>
      <xdr:row>35</xdr:row>
      <xdr:rowOff>53340</xdr:rowOff>
    </xdr:to>
    <xdr:sp macro="" textlink="">
      <xdr:nvSpPr>
        <xdr:cNvPr id="2" name="Arrow: Left 1" descr="decorative arrow">
          <a:extLst>
            <a:ext uri="{FF2B5EF4-FFF2-40B4-BE49-F238E27FC236}">
              <a16:creationId xmlns:a16="http://schemas.microsoft.com/office/drawing/2014/main" id="{4A42DA71-42EE-4C0A-B148-7EDAFAE757D2}"/>
            </a:ext>
          </a:extLst>
        </xdr:cNvPr>
        <xdr:cNvSpPr/>
      </xdr:nvSpPr>
      <xdr:spPr>
        <a:xfrm>
          <a:off x="10953750" y="6038850"/>
          <a:ext cx="968460" cy="43434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51"/>
  <sheetViews>
    <sheetView workbookViewId="0">
      <selection activeCell="C3" sqref="C3"/>
    </sheetView>
  </sheetViews>
  <sheetFormatPr defaultRowHeight="15" x14ac:dyDescent="0.25"/>
  <cols>
    <col min="1" max="1" width="1.85546875" customWidth="1"/>
    <col min="3" max="3" width="10.42578125" bestFit="1" customWidth="1"/>
    <col min="13" max="13" width="1.42578125" customWidth="1"/>
  </cols>
  <sheetData>
    <row r="1" spans="2:12" ht="15.75" thickBot="1" x14ac:dyDescent="0.3"/>
    <row r="2" spans="2:12" ht="15.75" thickTop="1" x14ac:dyDescent="0.25">
      <c r="B2" s="79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2:12" x14ac:dyDescent="0.25">
      <c r="B3" s="73"/>
      <c r="L3" s="74"/>
    </row>
    <row r="4" spans="2:12" x14ac:dyDescent="0.25">
      <c r="B4" s="73"/>
      <c r="L4" s="74"/>
    </row>
    <row r="5" spans="2:12" x14ac:dyDescent="0.25">
      <c r="B5" s="73"/>
      <c r="L5" s="74"/>
    </row>
    <row r="6" spans="2:12" x14ac:dyDescent="0.25">
      <c r="B6" s="73"/>
      <c r="L6" s="74"/>
    </row>
    <row r="7" spans="2:12" x14ac:dyDescent="0.25">
      <c r="B7" s="73"/>
      <c r="L7" s="74"/>
    </row>
    <row r="8" spans="2:12" ht="15.75" thickBot="1" x14ac:dyDescent="0.3">
      <c r="B8" s="73"/>
      <c r="L8" s="74"/>
    </row>
    <row r="9" spans="2:12" ht="24" thickBot="1" x14ac:dyDescent="0.4">
      <c r="B9" s="73"/>
      <c r="D9" s="247" t="s">
        <v>433</v>
      </c>
      <c r="E9" s="71"/>
      <c r="F9" s="71"/>
      <c r="G9" s="71"/>
      <c r="H9" s="71"/>
      <c r="I9" s="71"/>
      <c r="J9" s="72"/>
      <c r="L9" s="74"/>
    </row>
    <row r="10" spans="2:12" ht="15.75" thickBot="1" x14ac:dyDescent="0.3">
      <c r="B10" s="73"/>
      <c r="L10" s="74"/>
    </row>
    <row r="11" spans="2:12" ht="34.5" thickBot="1" x14ac:dyDescent="0.55000000000000004">
      <c r="B11" s="73"/>
      <c r="E11" s="246" t="s">
        <v>434</v>
      </c>
      <c r="F11" s="364"/>
      <c r="G11" s="364"/>
      <c r="H11" s="364"/>
      <c r="I11" s="365"/>
      <c r="L11" s="74"/>
    </row>
    <row r="12" spans="2:12" x14ac:dyDescent="0.25">
      <c r="B12" s="73"/>
      <c r="L12" s="74"/>
    </row>
    <row r="13" spans="2:12" ht="15.75" thickBot="1" x14ac:dyDescent="0.3">
      <c r="B13" s="73"/>
      <c r="L13" s="74"/>
    </row>
    <row r="14" spans="2:12" ht="29.25" customHeight="1" thickBot="1" x14ac:dyDescent="0.3">
      <c r="B14" s="73"/>
      <c r="E14" s="248" t="s">
        <v>513</v>
      </c>
      <c r="F14" s="249"/>
      <c r="G14" s="249"/>
      <c r="H14" s="249"/>
      <c r="I14" s="250"/>
      <c r="L14" s="74"/>
    </row>
    <row r="15" spans="2:12" x14ac:dyDescent="0.25">
      <c r="B15" s="73"/>
      <c r="L15" s="74"/>
    </row>
    <row r="16" spans="2:12" x14ac:dyDescent="0.25">
      <c r="B16" s="73"/>
      <c r="L16" s="74"/>
    </row>
    <row r="17" spans="2:12" x14ac:dyDescent="0.25">
      <c r="B17" s="73"/>
      <c r="L17" s="74"/>
    </row>
    <row r="18" spans="2:12" x14ac:dyDescent="0.25">
      <c r="B18" s="73"/>
      <c r="L18" s="74"/>
    </row>
    <row r="19" spans="2:12" x14ac:dyDescent="0.25">
      <c r="B19" s="73"/>
      <c r="L19" s="74"/>
    </row>
    <row r="20" spans="2:12" x14ac:dyDescent="0.25">
      <c r="B20" s="73"/>
      <c r="L20" s="74"/>
    </row>
    <row r="21" spans="2:12" x14ac:dyDescent="0.25">
      <c r="B21" s="73"/>
      <c r="L21" s="74"/>
    </row>
    <row r="22" spans="2:12" x14ac:dyDescent="0.25">
      <c r="B22" s="73"/>
      <c r="L22" s="74"/>
    </row>
    <row r="23" spans="2:12" x14ac:dyDescent="0.25">
      <c r="B23" s="73"/>
      <c r="D23" s="397" t="s">
        <v>438</v>
      </c>
      <c r="E23" s="397"/>
      <c r="F23" s="397"/>
      <c r="G23" s="397"/>
      <c r="H23" s="397"/>
      <c r="I23" s="397"/>
      <c r="J23" s="397"/>
      <c r="L23" s="74"/>
    </row>
    <row r="24" spans="2:12" x14ac:dyDescent="0.25">
      <c r="B24" s="73"/>
      <c r="D24" s="397" t="s">
        <v>439</v>
      </c>
      <c r="E24" s="397"/>
      <c r="F24" s="397"/>
      <c r="G24" s="397"/>
      <c r="H24" s="397"/>
      <c r="I24" s="397"/>
      <c r="J24" s="397"/>
      <c r="L24" s="74"/>
    </row>
    <row r="25" spans="2:12" x14ac:dyDescent="0.25">
      <c r="B25" s="73"/>
      <c r="D25" s="397" t="s">
        <v>440</v>
      </c>
      <c r="E25" s="397"/>
      <c r="F25" s="397"/>
      <c r="G25" s="397"/>
      <c r="H25" s="397"/>
      <c r="I25" s="397"/>
      <c r="J25" s="397"/>
      <c r="L25" s="74"/>
    </row>
    <row r="26" spans="2:12" x14ac:dyDescent="0.25">
      <c r="B26" s="73"/>
      <c r="F26" s="199"/>
      <c r="G26" s="199"/>
      <c r="L26" s="74"/>
    </row>
    <row r="27" spans="2:12" x14ac:dyDescent="0.25">
      <c r="B27" s="73"/>
      <c r="L27" s="74"/>
    </row>
    <row r="28" spans="2:12" x14ac:dyDescent="0.25">
      <c r="B28" s="73"/>
      <c r="L28" s="74"/>
    </row>
    <row r="29" spans="2:12" x14ac:dyDescent="0.25">
      <c r="B29" s="73"/>
      <c r="D29" s="397" t="s">
        <v>514</v>
      </c>
      <c r="E29" s="397"/>
      <c r="F29" s="397"/>
      <c r="G29" s="397"/>
      <c r="H29" s="397"/>
      <c r="I29" s="397"/>
      <c r="J29" s="397"/>
      <c r="L29" s="74"/>
    </row>
    <row r="30" spans="2:12" x14ac:dyDescent="0.25">
      <c r="B30" s="73"/>
      <c r="D30" s="397" t="s">
        <v>435</v>
      </c>
      <c r="E30" s="397"/>
      <c r="F30" s="397"/>
      <c r="G30" s="397"/>
      <c r="H30" s="397"/>
      <c r="I30" s="397"/>
      <c r="J30" s="397"/>
      <c r="L30" s="74"/>
    </row>
    <row r="31" spans="2:12" x14ac:dyDescent="0.25">
      <c r="B31" s="73"/>
      <c r="L31" s="74"/>
    </row>
    <row r="32" spans="2:12" x14ac:dyDescent="0.25">
      <c r="B32" s="73"/>
      <c r="L32" s="74"/>
    </row>
    <row r="33" spans="2:12" x14ac:dyDescent="0.25">
      <c r="B33" s="73"/>
      <c r="L33" s="74"/>
    </row>
    <row r="34" spans="2:12" x14ac:dyDescent="0.25">
      <c r="B34" s="73"/>
      <c r="D34" s="397" t="s">
        <v>436</v>
      </c>
      <c r="E34" s="397"/>
      <c r="F34" s="397"/>
      <c r="G34" s="397"/>
      <c r="H34" s="397"/>
      <c r="I34" s="397"/>
      <c r="J34" s="397"/>
      <c r="L34" s="74"/>
    </row>
    <row r="35" spans="2:12" x14ac:dyDescent="0.25">
      <c r="B35" s="73"/>
      <c r="D35" s="397" t="s">
        <v>437</v>
      </c>
      <c r="E35" s="397"/>
      <c r="F35" s="397"/>
      <c r="G35" s="397"/>
      <c r="H35" s="397"/>
      <c r="I35" s="397"/>
      <c r="J35" s="397"/>
      <c r="L35" s="74"/>
    </row>
    <row r="36" spans="2:12" x14ac:dyDescent="0.25">
      <c r="B36" s="73"/>
      <c r="L36" s="74"/>
    </row>
    <row r="37" spans="2:12" x14ac:dyDescent="0.25">
      <c r="B37" s="73"/>
      <c r="L37" s="74"/>
    </row>
    <row r="38" spans="2:12" x14ac:dyDescent="0.25">
      <c r="B38" s="73"/>
      <c r="L38" s="74"/>
    </row>
    <row r="39" spans="2:12" x14ac:dyDescent="0.25">
      <c r="B39" s="73"/>
      <c r="L39" s="74"/>
    </row>
    <row r="40" spans="2:12" x14ac:dyDescent="0.25">
      <c r="B40" s="73"/>
      <c r="E40" s="75"/>
      <c r="F40" s="75"/>
      <c r="G40" s="75"/>
      <c r="L40" s="74"/>
    </row>
    <row r="41" spans="2:12" x14ac:dyDescent="0.25">
      <c r="B41" s="73"/>
      <c r="E41" s="75"/>
      <c r="F41" s="75"/>
      <c r="G41" s="75"/>
      <c r="L41" s="74"/>
    </row>
    <row r="42" spans="2:12" x14ac:dyDescent="0.25">
      <c r="B42" s="73"/>
      <c r="D42" s="75"/>
      <c r="E42" s="75"/>
      <c r="F42" s="75"/>
      <c r="G42" s="75"/>
      <c r="L42" s="74"/>
    </row>
    <row r="43" spans="2:12" x14ac:dyDescent="0.25">
      <c r="B43" s="73"/>
      <c r="C43" s="75"/>
      <c r="D43" s="75"/>
      <c r="E43" s="75"/>
      <c r="F43" s="75"/>
      <c r="G43" s="75"/>
      <c r="L43" s="74"/>
    </row>
    <row r="44" spans="2:12" x14ac:dyDescent="0.25">
      <c r="B44" s="73"/>
      <c r="D44" s="75"/>
      <c r="E44" s="75"/>
      <c r="G44" s="75"/>
      <c r="L44" s="74"/>
    </row>
    <row r="45" spans="2:12" x14ac:dyDescent="0.25">
      <c r="B45" s="73"/>
      <c r="D45" s="75"/>
      <c r="E45" s="75"/>
      <c r="G45" s="75"/>
      <c r="L45" s="74"/>
    </row>
    <row r="46" spans="2:12" x14ac:dyDescent="0.25">
      <c r="B46" s="73"/>
      <c r="C46" s="75"/>
      <c r="D46" s="75"/>
      <c r="E46" s="75"/>
      <c r="F46" s="75"/>
      <c r="G46" s="75"/>
      <c r="L46" s="74"/>
    </row>
    <row r="47" spans="2:12" x14ac:dyDescent="0.25">
      <c r="B47" s="73"/>
      <c r="C47" s="75"/>
      <c r="D47" s="75"/>
      <c r="E47" s="75"/>
      <c r="F47" s="75"/>
      <c r="G47" s="75"/>
      <c r="L47" s="74"/>
    </row>
    <row r="48" spans="2:12" x14ac:dyDescent="0.25">
      <c r="B48" s="73"/>
      <c r="D48" s="398">
        <v>46182</v>
      </c>
      <c r="E48" s="398"/>
      <c r="F48" s="398"/>
      <c r="G48" s="398"/>
      <c r="H48" s="398"/>
      <c r="I48" s="398"/>
      <c r="J48" s="398"/>
      <c r="L48" s="74"/>
    </row>
    <row r="49" spans="2:12" x14ac:dyDescent="0.25">
      <c r="B49" s="73"/>
      <c r="L49" s="74"/>
    </row>
    <row r="50" spans="2:12" ht="15.75" thickBot="1" x14ac:dyDescent="0.3">
      <c r="B50" s="76"/>
      <c r="C50" s="77"/>
      <c r="D50" s="77"/>
      <c r="E50" s="77"/>
      <c r="F50" s="77"/>
      <c r="G50" s="77"/>
      <c r="H50" s="77"/>
      <c r="I50" s="77"/>
      <c r="J50" s="77"/>
      <c r="K50" s="77"/>
      <c r="L50" s="78"/>
    </row>
    <row r="51" spans="2:12" ht="15.75" thickTop="1" x14ac:dyDescent="0.25"/>
  </sheetData>
  <mergeCells count="8">
    <mergeCell ref="D35:J35"/>
    <mergeCell ref="D48:J48"/>
    <mergeCell ref="D23:J23"/>
    <mergeCell ref="D24:J24"/>
    <mergeCell ref="D25:J25"/>
    <mergeCell ref="D29:J29"/>
    <mergeCell ref="D30:J30"/>
    <mergeCell ref="D34:J34"/>
  </mergeCells>
  <pageMargins left="0.55000000000000004" right="0.4" top="0.56000000000000005" bottom="0.57999999999999996" header="0.3" footer="0.28000000000000003"/>
  <pageSetup scale="89" orientation="portrait" r:id="rId1"/>
  <headerFooter>
    <oddFooter>&amp;L&amp;D 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3">
    <pageSetUpPr fitToPage="1"/>
  </sheetPr>
  <dimension ref="A1:BA39"/>
  <sheetViews>
    <sheetView workbookViewId="0">
      <selection activeCell="C5" sqref="C5"/>
    </sheetView>
  </sheetViews>
  <sheetFormatPr defaultRowHeight="15" x14ac:dyDescent="0.25"/>
  <cols>
    <col min="1" max="1" width="2.42578125" customWidth="1"/>
    <col min="2" max="2" width="6.5703125" style="7" customWidth="1"/>
    <col min="3" max="3" width="4.140625" customWidth="1"/>
    <col min="4" max="4" width="26.85546875" customWidth="1"/>
    <col min="5" max="5" width="0.85546875" customWidth="1"/>
    <col min="6" max="6" width="17.42578125" style="105" customWidth="1"/>
    <col min="7" max="7" width="1.28515625" style="105" customWidth="1"/>
    <col min="8" max="8" width="17.42578125" style="105" customWidth="1"/>
    <col min="9" max="9" width="1.28515625" style="105" customWidth="1"/>
    <col min="10" max="10" width="17.42578125" style="105" customWidth="1"/>
    <col min="11" max="11" width="1.28515625" style="105" customWidth="1"/>
    <col min="12" max="12" width="17.42578125" style="105" customWidth="1"/>
    <col min="13" max="13" width="1.28515625" style="105" customWidth="1"/>
    <col min="14" max="14" width="17.42578125" style="105" customWidth="1"/>
    <col min="15" max="15" width="1.28515625" style="105" customWidth="1"/>
    <col min="16" max="16" width="17.42578125" style="105" customWidth="1"/>
    <col min="17" max="17" width="1.28515625" style="105" customWidth="1"/>
    <col min="18" max="18" width="17.42578125" style="10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4.42578125" hidden="1" customWidth="1"/>
    <col min="31" max="31" width="18" hidden="1" customWidth="1"/>
    <col min="32" max="32" width="20.42578125" hidden="1" customWidth="1"/>
    <col min="33" max="33" width="17.42578125" hidden="1" customWidth="1"/>
    <col min="34" max="34" width="16.140625" hidden="1" customWidth="1"/>
    <col min="35" max="36" width="0" hidden="1" customWidth="1"/>
    <col min="37" max="37" width="13.85546875" hidden="1" customWidth="1"/>
    <col min="38" max="42" width="0" hidden="1" customWidth="1"/>
    <col min="43" max="43" width="12.42578125" hidden="1" customWidth="1"/>
    <col min="44" max="44" width="10" hidden="1" customWidth="1"/>
    <col min="45" max="45" width="20.42578125" hidden="1" customWidth="1"/>
    <col min="46" max="46" width="18.140625" hidden="1" customWidth="1"/>
    <col min="47" max="52" width="0" hidden="1" customWidth="1"/>
    <col min="53" max="53" width="12.85546875" hidden="1" customWidth="1"/>
    <col min="54" max="54" width="0" hidden="1" customWidth="1"/>
  </cols>
  <sheetData>
    <row r="1" spans="1:53" x14ac:dyDescent="0.25">
      <c r="A1" s="404" t="str">
        <f>TOC!$A$1</f>
        <v xml:space="preserve">                  Eaton School District RE-2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1"/>
      <c r="U1" s="399" t="s">
        <v>234</v>
      </c>
    </row>
    <row r="2" spans="1:53" x14ac:dyDescent="0.25">
      <c r="A2" s="405" t="str">
        <f>+Cover!E11</f>
        <v xml:space="preserve">     Adopted Budget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1"/>
      <c r="U2" s="399"/>
    </row>
    <row r="3" spans="1:53" ht="16.5" thickBot="1" x14ac:dyDescent="0.3">
      <c r="A3" s="405" t="s">
        <v>419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1"/>
      <c r="U3" s="399"/>
      <c r="W3" s="400" t="s">
        <v>173</v>
      </c>
      <c r="X3" s="400"/>
      <c r="Y3" s="400"/>
      <c r="Z3" s="400"/>
      <c r="AA3" s="400"/>
      <c r="AB3" s="400"/>
      <c r="AC3" s="400"/>
      <c r="AJ3" s="59"/>
      <c r="AK3" s="59"/>
      <c r="AL3" s="59"/>
      <c r="AM3" s="5"/>
      <c r="AN3" s="5"/>
      <c r="AO3" s="5"/>
      <c r="AP3" s="5"/>
      <c r="AU3" s="400" t="s">
        <v>173</v>
      </c>
      <c r="AV3" s="400"/>
      <c r="AW3" s="400"/>
      <c r="AX3" s="400"/>
      <c r="AY3" s="400"/>
      <c r="AZ3" s="400"/>
      <c r="BA3" s="400"/>
    </row>
    <row r="4" spans="1:53" ht="16.5" thickBot="1" x14ac:dyDescent="0.3">
      <c r="A4" s="405" t="str">
        <f>+Cover!E14</f>
        <v xml:space="preserve">                   FY 2026/27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1"/>
      <c r="U4" s="399"/>
      <c r="W4" s="401" t="s">
        <v>273</v>
      </c>
      <c r="X4" s="401"/>
      <c r="Y4" s="401"/>
      <c r="Z4" s="401"/>
      <c r="AA4" s="401"/>
      <c r="AB4" s="401"/>
      <c r="AC4" s="401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  <c r="AJ4" s="104"/>
      <c r="AK4" s="104"/>
      <c r="AL4" s="59"/>
      <c r="AM4" s="96"/>
      <c r="AN4" s="94"/>
      <c r="AO4" s="94"/>
      <c r="AP4" s="101" t="s">
        <v>238</v>
      </c>
      <c r="AQ4" s="103">
        <f>+BudgetAssump!$K$23+BudgetAssump!K24</f>
        <v>0.22850000000000001</v>
      </c>
      <c r="AR4" s="90"/>
      <c r="AS4" s="98" t="s">
        <v>236</v>
      </c>
      <c r="AT4" s="98"/>
      <c r="AU4" s="401" t="s">
        <v>272</v>
      </c>
      <c r="AV4" s="401"/>
      <c r="AW4" s="401"/>
      <c r="AX4" s="401"/>
      <c r="AY4" s="401"/>
      <c r="AZ4" s="401"/>
      <c r="BA4" s="401"/>
    </row>
    <row r="5" spans="1:53" ht="15.7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0" t="str">
        <f>'Activity 23'!P5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  <c r="AJ5" s="59" t="s">
        <v>231</v>
      </c>
      <c r="AK5" s="59" t="s">
        <v>231</v>
      </c>
      <c r="AL5" s="59" t="s">
        <v>231</v>
      </c>
      <c r="AM5" s="96" t="s">
        <v>232</v>
      </c>
      <c r="AN5" s="96" t="s">
        <v>232</v>
      </c>
      <c r="AO5" s="96" t="s">
        <v>232</v>
      </c>
      <c r="AP5" s="90" t="s">
        <v>232</v>
      </c>
      <c r="AQ5" s="98" t="s">
        <v>232</v>
      </c>
      <c r="AR5" s="90" t="s">
        <v>232</v>
      </c>
      <c r="AS5" s="98" t="s">
        <v>232</v>
      </c>
      <c r="AT5" s="98"/>
      <c r="AU5" s="90" t="s">
        <v>231</v>
      </c>
      <c r="AV5" s="90" t="s">
        <v>231</v>
      </c>
      <c r="AW5" s="90" t="s">
        <v>231</v>
      </c>
      <c r="AX5" s="90" t="s">
        <v>231</v>
      </c>
      <c r="AY5" s="90" t="s">
        <v>231</v>
      </c>
      <c r="AZ5" s="90" t="s">
        <v>231</v>
      </c>
      <c r="BA5" s="59" t="s">
        <v>231</v>
      </c>
    </row>
    <row r="6" spans="1:53" ht="15.75" thickBot="1" x14ac:dyDescent="0.3">
      <c r="F6" s="223" t="str">
        <f>'GF Summary 10'!$F$7</f>
        <v>FY 22-23</v>
      </c>
      <c r="G6" s="225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'Activity 23'!P6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69" t="e">
        <f>+#REF!</f>
        <v>#REF!</v>
      </c>
      <c r="AF6" s="69" t="e">
        <f>+#REF!</f>
        <v>#REF!</v>
      </c>
      <c r="AG6" s="69" t="e">
        <f>+#REF!</f>
        <v>#REF!</v>
      </c>
      <c r="AH6" s="69" t="e">
        <f>+#REF!</f>
        <v>#REF!</v>
      </c>
      <c r="AJ6" s="102" t="s">
        <v>138</v>
      </c>
      <c r="AK6" s="102" t="s">
        <v>150</v>
      </c>
      <c r="AL6" s="102" t="s">
        <v>235</v>
      </c>
      <c r="AM6" s="97" t="s">
        <v>140</v>
      </c>
      <c r="AN6" s="95" t="s">
        <v>141</v>
      </c>
      <c r="AO6" s="95" t="s">
        <v>142</v>
      </c>
      <c r="AP6" s="93" t="s">
        <v>143</v>
      </c>
      <c r="AQ6" s="99" t="s">
        <v>161</v>
      </c>
      <c r="AR6" s="93" t="s">
        <v>162</v>
      </c>
      <c r="AS6" s="99" t="s">
        <v>283</v>
      </c>
      <c r="AT6" s="99" t="s">
        <v>237</v>
      </c>
      <c r="AU6" s="58" t="s">
        <v>144</v>
      </c>
      <c r="AV6" s="58" t="s">
        <v>139</v>
      </c>
      <c r="AW6" s="58" t="s">
        <v>145</v>
      </c>
      <c r="AX6" s="58" t="s">
        <v>146</v>
      </c>
      <c r="AY6" s="58" t="s">
        <v>147</v>
      </c>
      <c r="AZ6" s="58" t="s">
        <v>148</v>
      </c>
      <c r="BA6" s="102" t="s">
        <v>149</v>
      </c>
    </row>
    <row r="7" spans="1:53" x14ac:dyDescent="0.25">
      <c r="B7" s="7" t="s">
        <v>29</v>
      </c>
      <c r="F7" s="371"/>
      <c r="G7" s="128"/>
      <c r="H7" s="217"/>
      <c r="I7" s="128"/>
      <c r="J7" s="372"/>
      <c r="K7" s="19"/>
      <c r="L7" s="371"/>
      <c r="M7" s="128"/>
      <c r="N7" s="217"/>
      <c r="O7" s="128"/>
      <c r="P7" s="128"/>
      <c r="Q7" s="239"/>
      <c r="R7" s="372"/>
      <c r="S7" s="5"/>
      <c r="U7" s="399"/>
      <c r="W7" s="59"/>
      <c r="X7" s="59"/>
      <c r="Y7" s="59"/>
      <c r="Z7" s="59"/>
      <c r="AA7" s="59"/>
      <c r="AB7" s="59"/>
      <c r="AC7" s="59"/>
      <c r="AD7" s="59"/>
      <c r="AE7" s="90"/>
      <c r="AF7" s="90"/>
      <c r="AG7" s="90"/>
      <c r="AH7" s="91"/>
      <c r="AJ7" s="59"/>
      <c r="AK7" s="59"/>
      <c r="AL7" s="59"/>
      <c r="AM7" s="96"/>
      <c r="AN7" s="94"/>
      <c r="AO7" s="94"/>
      <c r="AP7" s="90"/>
      <c r="AQ7" s="98">
        <f>+AP7*AQ$4</f>
        <v>0</v>
      </c>
      <c r="AR7" s="90"/>
      <c r="AS7" s="98">
        <f>AQ7+AR7</f>
        <v>0</v>
      </c>
      <c r="AT7" s="98">
        <f>+AS7+AP7</f>
        <v>0</v>
      </c>
      <c r="AU7" s="59"/>
      <c r="AV7" s="59"/>
      <c r="AW7" s="59"/>
      <c r="AX7" s="59"/>
      <c r="AY7" s="59"/>
      <c r="AZ7" s="59"/>
      <c r="BA7" s="59"/>
    </row>
    <row r="8" spans="1:53" x14ac:dyDescent="0.25">
      <c r="C8" t="s">
        <v>211</v>
      </c>
      <c r="F8" s="122">
        <v>1185679</v>
      </c>
      <c r="G8" s="19"/>
      <c r="H8" s="19">
        <v>1275495</v>
      </c>
      <c r="I8" s="19"/>
      <c r="J8" s="123">
        <v>1823122</v>
      </c>
      <c r="K8" s="19"/>
      <c r="L8" s="122">
        <v>995730</v>
      </c>
      <c r="M8" s="19"/>
      <c r="N8" s="19">
        <v>1813330</v>
      </c>
      <c r="O8" s="19"/>
      <c r="P8" s="19">
        <f>R8-L8</f>
        <v>817600</v>
      </c>
      <c r="Q8" s="239"/>
      <c r="R8" s="123">
        <v>1813330</v>
      </c>
      <c r="S8" s="5"/>
      <c r="U8" s="39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2"/>
      <c r="AJ8" s="59"/>
      <c r="AK8" s="59"/>
      <c r="AL8" s="59"/>
      <c r="AM8" s="96"/>
      <c r="AN8" s="94"/>
      <c r="AO8" s="94"/>
      <c r="AP8" s="90"/>
      <c r="AQ8" s="98">
        <f t="shared" ref="AQ8:AQ39" si="0">+AP8*AQ$4</f>
        <v>0</v>
      </c>
      <c r="AR8" s="90"/>
      <c r="AS8" s="98">
        <f t="shared" ref="AS8:AS39" si="1">AQ8+AR8</f>
        <v>0</v>
      </c>
      <c r="AT8" s="98">
        <f t="shared" ref="AT8:AT39" si="2">+AS8+AP8</f>
        <v>0</v>
      </c>
      <c r="AU8" s="59"/>
      <c r="AV8" s="59"/>
      <c r="AW8" s="59"/>
      <c r="AX8" s="59"/>
      <c r="AY8" s="59"/>
      <c r="AZ8" s="59"/>
      <c r="BA8" s="59"/>
    </row>
    <row r="9" spans="1:53" x14ac:dyDescent="0.25">
      <c r="B9" s="7" t="s">
        <v>31</v>
      </c>
      <c r="F9" s="124">
        <f>SUM(F8:F8)</f>
        <v>1185679</v>
      </c>
      <c r="G9" s="128"/>
      <c r="H9" s="126">
        <f>SUM(H8:H8)</f>
        <v>1275495</v>
      </c>
      <c r="I9" s="128"/>
      <c r="J9" s="127">
        <f>SUM(J8:J8)</f>
        <v>1823122</v>
      </c>
      <c r="K9" s="19"/>
      <c r="L9" s="124">
        <f>SUM(L8:L8)</f>
        <v>995730</v>
      </c>
      <c r="M9" s="128"/>
      <c r="N9" s="126">
        <f>SUM(N8:N8)</f>
        <v>1813330</v>
      </c>
      <c r="O9" s="128"/>
      <c r="P9" s="126">
        <f>SUM(P8:P8)</f>
        <v>817600</v>
      </c>
      <c r="Q9" s="239"/>
      <c r="R9" s="127">
        <f>SUM(R8:R8)</f>
        <v>1813330</v>
      </c>
      <c r="S9" s="5"/>
      <c r="U9" s="39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2"/>
      <c r="AJ9" s="59"/>
      <c r="AK9" s="59"/>
      <c r="AL9" s="59"/>
      <c r="AM9" s="96"/>
      <c r="AN9" s="94"/>
      <c r="AO9" s="94"/>
      <c r="AP9" s="90"/>
      <c r="AQ9" s="98">
        <f t="shared" si="0"/>
        <v>0</v>
      </c>
      <c r="AR9" s="90"/>
      <c r="AS9" s="98">
        <f t="shared" si="1"/>
        <v>0</v>
      </c>
      <c r="AT9" s="98">
        <f t="shared" si="2"/>
        <v>0</v>
      </c>
      <c r="AU9" s="59"/>
      <c r="AV9" s="59"/>
      <c r="AW9" s="59"/>
      <c r="AX9" s="59"/>
      <c r="AY9" s="59"/>
      <c r="AZ9" s="59"/>
      <c r="BA9" s="59"/>
    </row>
    <row r="10" spans="1:53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39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2"/>
      <c r="AJ10" s="59"/>
      <c r="AK10" s="59"/>
      <c r="AL10" s="59"/>
      <c r="AM10" s="96"/>
      <c r="AN10" s="94"/>
      <c r="AO10" s="94"/>
      <c r="AP10" s="90"/>
      <c r="AQ10" s="98">
        <f t="shared" si="0"/>
        <v>0</v>
      </c>
      <c r="AR10" s="90"/>
      <c r="AS10" s="98">
        <f t="shared" si="1"/>
        <v>0</v>
      </c>
      <c r="AT10" s="98">
        <f t="shared" si="2"/>
        <v>0</v>
      </c>
      <c r="AU10" s="59"/>
      <c r="AV10" s="59"/>
      <c r="AW10" s="59"/>
      <c r="AX10" s="59"/>
      <c r="AY10" s="59"/>
      <c r="AZ10" s="59"/>
      <c r="BA10" s="59"/>
    </row>
    <row r="11" spans="1:53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2"/>
      <c r="AJ11" s="59"/>
      <c r="AK11" s="59"/>
      <c r="AL11" s="59"/>
      <c r="AM11" s="96"/>
      <c r="AN11" s="94"/>
      <c r="AO11" s="94"/>
      <c r="AP11" s="90"/>
      <c r="AQ11" s="98">
        <f t="shared" si="0"/>
        <v>0</v>
      </c>
      <c r="AR11" s="90"/>
      <c r="AS11" s="98">
        <f t="shared" si="1"/>
        <v>0</v>
      </c>
      <c r="AT11" s="98">
        <f t="shared" si="2"/>
        <v>0</v>
      </c>
      <c r="AU11" s="59"/>
      <c r="AV11" s="59"/>
      <c r="AW11" s="59"/>
      <c r="AX11" s="59"/>
      <c r="AY11" s="59"/>
      <c r="AZ11" s="59"/>
      <c r="BA11" s="59"/>
    </row>
    <row r="12" spans="1:53" x14ac:dyDescent="0.25">
      <c r="B12" s="7" t="s">
        <v>246</v>
      </c>
      <c r="C12" t="s">
        <v>33</v>
      </c>
      <c r="F12" s="122">
        <v>92609</v>
      </c>
      <c r="G12" s="19"/>
      <c r="H12" s="19">
        <v>715223</v>
      </c>
      <c r="I12" s="19"/>
      <c r="J12" s="123">
        <v>312871</v>
      </c>
      <c r="K12" s="19"/>
      <c r="L12" s="122">
        <v>254465</v>
      </c>
      <c r="M12" s="19"/>
      <c r="N12" s="19">
        <v>254465</v>
      </c>
      <c r="O12" s="19"/>
      <c r="P12" s="19">
        <f>R12-L12</f>
        <v>44417</v>
      </c>
      <c r="Q12" s="239"/>
      <c r="R12" s="123">
        <v>298882</v>
      </c>
      <c r="U12" s="39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2"/>
      <c r="AJ12" s="59"/>
      <c r="AK12" s="59"/>
      <c r="AL12" s="59"/>
      <c r="AM12" s="96"/>
      <c r="AN12" s="94"/>
      <c r="AO12" s="94"/>
      <c r="AP12" s="90"/>
      <c r="AQ12" s="98">
        <f t="shared" si="0"/>
        <v>0</v>
      </c>
      <c r="AR12" s="90"/>
      <c r="AS12" s="98">
        <f t="shared" si="1"/>
        <v>0</v>
      </c>
      <c r="AT12" s="98">
        <f t="shared" si="2"/>
        <v>0</v>
      </c>
      <c r="AU12" s="59"/>
      <c r="AV12" s="59"/>
      <c r="AW12" s="59"/>
      <c r="AX12" s="59"/>
      <c r="AY12" s="59"/>
      <c r="AZ12" s="59"/>
      <c r="BA12" s="59"/>
    </row>
    <row r="13" spans="1:53" x14ac:dyDescent="0.25">
      <c r="B13" s="7" t="s">
        <v>247</v>
      </c>
      <c r="C13" t="s">
        <v>35</v>
      </c>
      <c r="F13" s="122">
        <v>0</v>
      </c>
      <c r="G13" s="19"/>
      <c r="H13" s="19">
        <v>0</v>
      </c>
      <c r="I13" s="19"/>
      <c r="J13" s="123">
        <v>0</v>
      </c>
      <c r="K13" s="19"/>
      <c r="L13" s="122">
        <v>0</v>
      </c>
      <c r="M13" s="19"/>
      <c r="N13" s="19"/>
      <c r="O13" s="19"/>
      <c r="P13" s="19">
        <f>R13-L13</f>
        <v>0</v>
      </c>
      <c r="Q13" s="239"/>
      <c r="R13" s="123">
        <v>0</v>
      </c>
      <c r="U13" s="39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2"/>
      <c r="AJ13" s="59"/>
      <c r="AK13" s="59"/>
      <c r="AL13" s="59"/>
      <c r="AM13" s="96"/>
      <c r="AN13" s="94"/>
      <c r="AO13" s="94"/>
      <c r="AP13" s="90"/>
      <c r="AQ13" s="98">
        <f t="shared" si="0"/>
        <v>0</v>
      </c>
      <c r="AR13" s="90"/>
      <c r="AS13" s="98">
        <f t="shared" si="1"/>
        <v>0</v>
      </c>
      <c r="AT13" s="98">
        <f t="shared" si="2"/>
        <v>0</v>
      </c>
      <c r="AU13" s="59"/>
      <c r="AV13" s="59"/>
      <c r="AW13" s="59"/>
      <c r="AX13" s="59"/>
      <c r="AY13" s="59"/>
      <c r="AZ13" s="59"/>
      <c r="BA13" s="59"/>
    </row>
    <row r="14" spans="1:53" x14ac:dyDescent="0.25">
      <c r="B14" s="7" t="s">
        <v>248</v>
      </c>
      <c r="C14" t="s">
        <v>36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v>0</v>
      </c>
      <c r="M14" s="19"/>
      <c r="N14" s="19"/>
      <c r="O14" s="19"/>
      <c r="P14" s="19">
        <f>R14-L14</f>
        <v>0</v>
      </c>
      <c r="Q14" s="239"/>
      <c r="R14" s="123">
        <v>0</v>
      </c>
      <c r="U14" s="39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2"/>
      <c r="AJ14" s="59"/>
      <c r="AK14" s="59"/>
      <c r="AL14" s="59"/>
      <c r="AM14" s="96"/>
      <c r="AN14" s="94"/>
      <c r="AO14" s="94"/>
      <c r="AP14" s="90"/>
      <c r="AQ14" s="98">
        <f t="shared" si="0"/>
        <v>0</v>
      </c>
      <c r="AR14" s="90"/>
      <c r="AS14" s="98">
        <f t="shared" si="1"/>
        <v>0</v>
      </c>
      <c r="AT14" s="98">
        <f t="shared" si="2"/>
        <v>0</v>
      </c>
      <c r="AU14" s="59"/>
      <c r="AV14" s="59"/>
      <c r="AW14" s="59"/>
      <c r="AX14" s="59"/>
      <c r="AY14" s="59"/>
      <c r="AZ14" s="59"/>
      <c r="BA14" s="59"/>
    </row>
    <row r="15" spans="1:53" x14ac:dyDescent="0.25">
      <c r="B15" s="117">
        <v>5210</v>
      </c>
      <c r="C15" t="s">
        <v>254</v>
      </c>
      <c r="F15" s="131">
        <v>0</v>
      </c>
      <c r="G15" s="19"/>
      <c r="H15" s="132">
        <v>0</v>
      </c>
      <c r="I15" s="19"/>
      <c r="J15" s="133">
        <v>0</v>
      </c>
      <c r="K15" s="19"/>
      <c r="L15" s="131">
        <v>0</v>
      </c>
      <c r="M15" s="19"/>
      <c r="N15" s="132"/>
      <c r="O15" s="19"/>
      <c r="P15" s="132">
        <f>R15-L15</f>
        <v>0</v>
      </c>
      <c r="Q15" s="239"/>
      <c r="R15" s="133">
        <v>0</v>
      </c>
      <c r="U15" s="39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2"/>
      <c r="AJ15" s="59"/>
      <c r="AK15" s="59"/>
      <c r="AL15" s="59"/>
      <c r="AM15" s="96"/>
      <c r="AN15" s="94"/>
      <c r="AO15" s="94"/>
      <c r="AP15" s="90"/>
      <c r="AQ15" s="98">
        <f t="shared" si="0"/>
        <v>0</v>
      </c>
      <c r="AR15" s="90"/>
      <c r="AS15" s="98">
        <f t="shared" si="1"/>
        <v>0</v>
      </c>
      <c r="AT15" s="98">
        <f t="shared" si="2"/>
        <v>0</v>
      </c>
      <c r="AU15" s="59"/>
      <c r="AV15" s="59"/>
      <c r="AW15" s="59"/>
      <c r="AX15" s="59"/>
      <c r="AY15" s="59"/>
      <c r="AZ15" s="59"/>
      <c r="BA15" s="59"/>
    </row>
    <row r="16" spans="1:53" x14ac:dyDescent="0.25">
      <c r="B16" s="7" t="s">
        <v>37</v>
      </c>
      <c r="F16" s="122">
        <f>SUM(F11:F15)</f>
        <v>92609</v>
      </c>
      <c r="G16" s="19"/>
      <c r="H16" s="19">
        <f>SUM(H11:H15)</f>
        <v>715223</v>
      </c>
      <c r="I16" s="19"/>
      <c r="J16" s="123">
        <f>SUM(J12:J15)</f>
        <v>312871</v>
      </c>
      <c r="K16" s="19"/>
      <c r="L16" s="122">
        <f>SUM(L11:L15)</f>
        <v>254465</v>
      </c>
      <c r="M16" s="19"/>
      <c r="N16" s="19">
        <f>SUM(N11:N15)</f>
        <v>254465</v>
      </c>
      <c r="O16" s="19"/>
      <c r="P16" s="19">
        <f>SUM(P11:P15)</f>
        <v>44417</v>
      </c>
      <c r="Q16" s="239"/>
      <c r="R16" s="123">
        <f>SUM(R11:R15)</f>
        <v>298882</v>
      </c>
      <c r="U16" s="39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2"/>
      <c r="AJ16" s="59"/>
      <c r="AK16" s="59"/>
      <c r="AL16" s="59"/>
      <c r="AM16" s="96"/>
      <c r="AN16" s="94"/>
      <c r="AO16" s="94"/>
      <c r="AP16" s="90"/>
      <c r="AQ16" s="98">
        <f t="shared" si="0"/>
        <v>0</v>
      </c>
      <c r="AR16" s="90"/>
      <c r="AS16" s="98">
        <f t="shared" si="1"/>
        <v>0</v>
      </c>
      <c r="AT16" s="98">
        <f t="shared" si="2"/>
        <v>0</v>
      </c>
      <c r="AU16" s="59"/>
      <c r="AV16" s="59"/>
      <c r="AW16" s="59"/>
      <c r="AX16" s="59"/>
      <c r="AY16" s="59"/>
      <c r="AZ16" s="59"/>
      <c r="BA16" s="59"/>
    </row>
    <row r="17" spans="2:53" x14ac:dyDescent="0.25">
      <c r="F17" s="122"/>
      <c r="G17" s="19"/>
      <c r="H17" s="19"/>
      <c r="I17" s="19"/>
      <c r="J17" s="123"/>
      <c r="K17" s="19"/>
      <c r="L17" s="122"/>
      <c r="M17" s="19"/>
      <c r="N17" s="19"/>
      <c r="O17" s="19"/>
      <c r="P17" s="19"/>
      <c r="Q17" s="239"/>
      <c r="R17" s="123"/>
      <c r="U17" s="39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2"/>
      <c r="AJ17" s="59"/>
      <c r="AK17" s="59"/>
      <c r="AL17" s="59"/>
      <c r="AM17" s="96"/>
      <c r="AN17" s="94"/>
      <c r="AO17" s="94"/>
      <c r="AP17" s="90"/>
      <c r="AQ17" s="98">
        <f t="shared" si="0"/>
        <v>0</v>
      </c>
      <c r="AR17" s="90"/>
      <c r="AS17" s="98">
        <f t="shared" si="1"/>
        <v>0</v>
      </c>
      <c r="AT17" s="98">
        <f t="shared" si="2"/>
        <v>0</v>
      </c>
      <c r="AU17" s="59"/>
      <c r="AV17" s="59"/>
      <c r="AW17" s="59"/>
      <c r="AX17" s="59"/>
      <c r="AY17" s="59"/>
      <c r="AZ17" s="59"/>
      <c r="BA17" s="59"/>
    </row>
    <row r="18" spans="2:53" x14ac:dyDescent="0.25">
      <c r="B18" s="7" t="s">
        <v>38</v>
      </c>
      <c r="F18" s="131">
        <f>F9+F16</f>
        <v>1278288</v>
      </c>
      <c r="G18" s="19"/>
      <c r="H18" s="132">
        <f>H9+H16</f>
        <v>1990718</v>
      </c>
      <c r="I18" s="19"/>
      <c r="J18" s="133">
        <f>J9+J16</f>
        <v>2135993</v>
      </c>
      <c r="K18" s="19"/>
      <c r="L18" s="131">
        <f>L9+L16</f>
        <v>1250195</v>
      </c>
      <c r="M18" s="19"/>
      <c r="N18" s="132">
        <f>N9+N16</f>
        <v>2067795</v>
      </c>
      <c r="O18" s="19"/>
      <c r="P18" s="132">
        <f>P9+P16</f>
        <v>862017</v>
      </c>
      <c r="Q18" s="239"/>
      <c r="R18" s="133">
        <f>R9+R16</f>
        <v>2112212</v>
      </c>
      <c r="U18" s="399"/>
      <c r="AJ18" s="59"/>
      <c r="AK18" s="59"/>
      <c r="AL18" s="59"/>
      <c r="AM18" s="96"/>
      <c r="AN18" s="94"/>
      <c r="AO18" s="94"/>
      <c r="AP18" s="90"/>
      <c r="AQ18" s="98">
        <f t="shared" si="0"/>
        <v>0</v>
      </c>
      <c r="AR18" s="90"/>
      <c r="AS18" s="98">
        <f t="shared" si="1"/>
        <v>0</v>
      </c>
      <c r="AT18" s="98">
        <f t="shared" si="2"/>
        <v>0</v>
      </c>
      <c r="AU18" s="59"/>
      <c r="AV18" s="59"/>
      <c r="AW18" s="59"/>
      <c r="AX18" s="59"/>
      <c r="AY18" s="59"/>
      <c r="AZ18" s="59"/>
      <c r="BA18" s="59"/>
    </row>
    <row r="19" spans="2:53" x14ac:dyDescent="0.25">
      <c r="F19" s="122"/>
      <c r="G19" s="19"/>
      <c r="H19" s="126"/>
      <c r="I19" s="19"/>
      <c r="J19" s="127"/>
      <c r="K19" s="19"/>
      <c r="L19" s="122"/>
      <c r="M19" s="19"/>
      <c r="N19" s="126"/>
      <c r="O19" s="19"/>
      <c r="P19" s="126"/>
      <c r="Q19" s="239"/>
      <c r="R19" s="127"/>
      <c r="U19" s="399"/>
      <c r="AJ19" s="59"/>
      <c r="AK19" s="59"/>
      <c r="AL19" s="59"/>
      <c r="AM19" s="96"/>
      <c r="AN19" s="94"/>
      <c r="AO19" s="94"/>
      <c r="AP19" s="90"/>
      <c r="AQ19" s="98">
        <f t="shared" si="0"/>
        <v>0</v>
      </c>
      <c r="AR19" s="90"/>
      <c r="AS19" s="98">
        <f t="shared" si="1"/>
        <v>0</v>
      </c>
      <c r="AT19" s="98">
        <f t="shared" si="2"/>
        <v>0</v>
      </c>
      <c r="AU19" s="59"/>
      <c r="AV19" s="59"/>
      <c r="AW19" s="59"/>
      <c r="AX19" s="59"/>
      <c r="AY19" s="59"/>
      <c r="AZ19" s="59"/>
      <c r="BA19" s="59"/>
    </row>
    <row r="20" spans="2:53" x14ac:dyDescent="0.25">
      <c r="B20" s="7" t="s">
        <v>39</v>
      </c>
      <c r="F20" s="122"/>
      <c r="G20" s="19"/>
      <c r="H20" s="19"/>
      <c r="I20" s="19"/>
      <c r="J20" s="123"/>
      <c r="K20" s="19"/>
      <c r="L20" s="122"/>
      <c r="M20" s="19"/>
      <c r="N20" s="19"/>
      <c r="O20" s="19"/>
      <c r="P20" s="19"/>
      <c r="Q20" s="239"/>
      <c r="R20" s="123"/>
      <c r="U20" s="399"/>
      <c r="AJ20" s="59"/>
      <c r="AK20" s="59"/>
      <c r="AL20" s="59"/>
      <c r="AM20" s="96"/>
      <c r="AN20" s="94"/>
      <c r="AO20" s="94"/>
      <c r="AP20" s="90"/>
      <c r="AQ20" s="98">
        <f t="shared" si="0"/>
        <v>0</v>
      </c>
      <c r="AR20" s="90"/>
      <c r="AS20" s="98">
        <f t="shared" si="1"/>
        <v>0</v>
      </c>
      <c r="AT20" s="98">
        <f t="shared" si="2"/>
        <v>0</v>
      </c>
      <c r="AU20" s="59"/>
      <c r="AV20" s="59"/>
      <c r="AW20" s="59"/>
      <c r="AX20" s="59"/>
      <c r="AY20" s="59"/>
      <c r="AZ20" s="59"/>
      <c r="BA20" s="59"/>
    </row>
    <row r="21" spans="2:53" x14ac:dyDescent="0.25">
      <c r="B21" s="87" t="s">
        <v>204</v>
      </c>
      <c r="C21" t="s">
        <v>60</v>
      </c>
      <c r="F21" s="122">
        <v>0</v>
      </c>
      <c r="G21" s="19"/>
      <c r="H21" s="19">
        <v>0</v>
      </c>
      <c r="I21" s="19"/>
      <c r="J21" s="123">
        <v>0</v>
      </c>
      <c r="K21" s="19"/>
      <c r="L21" s="122">
        <v>0</v>
      </c>
      <c r="M21" s="19"/>
      <c r="N21" s="19">
        <v>0</v>
      </c>
      <c r="O21" s="19"/>
      <c r="P21" s="19">
        <f t="shared" ref="P21:P29" si="3">R21-L21</f>
        <v>0</v>
      </c>
      <c r="Q21" s="239"/>
      <c r="R21" s="123">
        <v>0</v>
      </c>
      <c r="U21" s="399"/>
      <c r="AJ21" s="59"/>
      <c r="AK21" s="59"/>
      <c r="AL21" s="59"/>
      <c r="AM21" s="96"/>
      <c r="AN21" s="94"/>
      <c r="AO21" s="94"/>
      <c r="AP21" s="90"/>
      <c r="AQ21" s="98">
        <f t="shared" si="0"/>
        <v>0</v>
      </c>
      <c r="AR21" s="90"/>
      <c r="AS21" s="98">
        <f t="shared" si="1"/>
        <v>0</v>
      </c>
      <c r="AT21" s="98">
        <f t="shared" si="2"/>
        <v>0</v>
      </c>
      <c r="AU21" s="59"/>
      <c r="AV21" s="59"/>
      <c r="AW21" s="59"/>
      <c r="AX21" s="59"/>
      <c r="AY21" s="59"/>
      <c r="AZ21" s="59"/>
      <c r="BA21" s="59"/>
    </row>
    <row r="22" spans="2:53" x14ac:dyDescent="0.25">
      <c r="B22" s="87" t="s">
        <v>196</v>
      </c>
      <c r="C22" t="s">
        <v>61</v>
      </c>
      <c r="F22" s="122">
        <v>0</v>
      </c>
      <c r="G22" s="19"/>
      <c r="H22" s="19">
        <v>0</v>
      </c>
      <c r="I22" s="19"/>
      <c r="J22" s="123">
        <v>0</v>
      </c>
      <c r="K22" s="19"/>
      <c r="L22" s="122">
        <v>0</v>
      </c>
      <c r="M22" s="19"/>
      <c r="N22" s="19">
        <v>0</v>
      </c>
      <c r="O22" s="19"/>
      <c r="P22" s="19">
        <f t="shared" si="3"/>
        <v>0</v>
      </c>
      <c r="Q22" s="239"/>
      <c r="R22" s="123">
        <v>0</v>
      </c>
      <c r="U22" s="399"/>
      <c r="AJ22" s="59"/>
      <c r="AK22" s="59"/>
      <c r="AL22" s="59"/>
      <c r="AM22" s="96"/>
      <c r="AN22" s="94"/>
      <c r="AO22" s="94"/>
      <c r="AP22" s="90"/>
      <c r="AQ22" s="98">
        <f t="shared" si="0"/>
        <v>0</v>
      </c>
      <c r="AR22" s="90"/>
      <c r="AS22" s="98">
        <f t="shared" si="1"/>
        <v>0</v>
      </c>
      <c r="AT22" s="98">
        <f t="shared" si="2"/>
        <v>0</v>
      </c>
      <c r="AU22" s="59"/>
      <c r="AV22" s="59"/>
      <c r="AW22" s="59"/>
      <c r="AX22" s="59"/>
      <c r="AY22" s="59"/>
      <c r="AZ22" s="59"/>
      <c r="BA22" s="59"/>
    </row>
    <row r="23" spans="2:53" x14ac:dyDescent="0.25">
      <c r="B23" s="87" t="s">
        <v>197</v>
      </c>
      <c r="C23" t="s">
        <v>62</v>
      </c>
      <c r="F23" s="122">
        <v>0</v>
      </c>
      <c r="G23" s="19"/>
      <c r="H23" s="19">
        <v>0</v>
      </c>
      <c r="I23" s="19"/>
      <c r="J23" s="123">
        <v>0</v>
      </c>
      <c r="K23" s="19"/>
      <c r="L23" s="122">
        <v>0</v>
      </c>
      <c r="M23" s="19"/>
      <c r="N23" s="19">
        <v>0</v>
      </c>
      <c r="O23" s="19"/>
      <c r="P23" s="19">
        <f t="shared" si="3"/>
        <v>0</v>
      </c>
      <c r="Q23" s="239"/>
      <c r="R23" s="123">
        <v>0</v>
      </c>
      <c r="U23" s="399"/>
      <c r="AJ23" s="59"/>
      <c r="AK23" s="59"/>
      <c r="AL23" s="59"/>
      <c r="AM23" s="96"/>
      <c r="AN23" s="94"/>
      <c r="AO23" s="94"/>
      <c r="AP23" s="90"/>
      <c r="AQ23" s="98">
        <f t="shared" si="0"/>
        <v>0</v>
      </c>
      <c r="AR23" s="90"/>
      <c r="AS23" s="98">
        <f t="shared" si="1"/>
        <v>0</v>
      </c>
      <c r="AT23" s="98">
        <f t="shared" si="2"/>
        <v>0</v>
      </c>
      <c r="AU23" s="59"/>
      <c r="AV23" s="59"/>
      <c r="AW23" s="59"/>
      <c r="AX23" s="59"/>
      <c r="AY23" s="59"/>
      <c r="AZ23" s="59"/>
      <c r="BA23" s="59"/>
    </row>
    <row r="24" spans="2:53" x14ac:dyDescent="0.25">
      <c r="B24" s="87" t="s">
        <v>198</v>
      </c>
      <c r="C24" t="s">
        <v>63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19">
        <v>0</v>
      </c>
      <c r="O24" s="19"/>
      <c r="P24" s="19">
        <f t="shared" si="3"/>
        <v>0</v>
      </c>
      <c r="Q24" s="239"/>
      <c r="R24" s="123">
        <v>0</v>
      </c>
      <c r="U24" s="399"/>
      <c r="AJ24" s="59"/>
      <c r="AK24" s="59"/>
      <c r="AL24" s="59"/>
      <c r="AM24" s="96"/>
      <c r="AN24" s="94"/>
      <c r="AO24" s="94"/>
      <c r="AP24" s="90"/>
      <c r="AQ24" s="98">
        <f t="shared" si="0"/>
        <v>0</v>
      </c>
      <c r="AR24" s="90"/>
      <c r="AS24" s="98">
        <f t="shared" si="1"/>
        <v>0</v>
      </c>
      <c r="AT24" s="98">
        <f t="shared" si="2"/>
        <v>0</v>
      </c>
      <c r="AU24" s="59"/>
      <c r="AV24" s="59"/>
      <c r="AW24" s="59"/>
      <c r="AX24" s="59"/>
      <c r="AY24" s="59"/>
      <c r="AZ24" s="59"/>
      <c r="BA24" s="59"/>
    </row>
    <row r="25" spans="2:53" x14ac:dyDescent="0.25">
      <c r="B25" s="87" t="s">
        <v>199</v>
      </c>
      <c r="C25" t="s">
        <v>49</v>
      </c>
      <c r="F25" s="122">
        <v>0</v>
      </c>
      <c r="G25" s="19"/>
      <c r="H25" s="19">
        <v>0</v>
      </c>
      <c r="I25" s="19"/>
      <c r="J25" s="123">
        <v>0</v>
      </c>
      <c r="K25" s="19"/>
      <c r="L25" s="122">
        <v>0</v>
      </c>
      <c r="M25" s="19"/>
      <c r="N25" s="19">
        <v>0</v>
      </c>
      <c r="O25" s="19"/>
      <c r="P25" s="19">
        <f t="shared" si="3"/>
        <v>0</v>
      </c>
      <c r="Q25" s="239"/>
      <c r="R25" s="123">
        <v>0</v>
      </c>
      <c r="U25" s="399"/>
      <c r="AJ25" s="59"/>
      <c r="AK25" s="59"/>
      <c r="AL25" s="59"/>
      <c r="AM25" s="96"/>
      <c r="AN25" s="94"/>
      <c r="AO25" s="94"/>
      <c r="AP25" s="90"/>
      <c r="AQ25" s="98">
        <f t="shared" si="0"/>
        <v>0</v>
      </c>
      <c r="AR25" s="90"/>
      <c r="AS25" s="98">
        <f t="shared" si="1"/>
        <v>0</v>
      </c>
      <c r="AT25" s="98">
        <f t="shared" si="2"/>
        <v>0</v>
      </c>
      <c r="AU25" s="59"/>
      <c r="AV25" s="59"/>
      <c r="AW25" s="59"/>
      <c r="AX25" s="59"/>
      <c r="AY25" s="59"/>
      <c r="AZ25" s="59"/>
      <c r="BA25" s="59"/>
    </row>
    <row r="26" spans="2:53" x14ac:dyDescent="0.25">
      <c r="B26" s="87" t="s">
        <v>200</v>
      </c>
      <c r="C26" t="s">
        <v>64</v>
      </c>
      <c r="F26" s="122">
        <v>0</v>
      </c>
      <c r="G26" s="19"/>
      <c r="H26" s="19">
        <v>0</v>
      </c>
      <c r="I26" s="19"/>
      <c r="J26" s="123">
        <v>0</v>
      </c>
      <c r="K26" s="19"/>
      <c r="L26" s="122">
        <v>0</v>
      </c>
      <c r="M26" s="19"/>
      <c r="N26" s="19">
        <v>0</v>
      </c>
      <c r="O26" s="19"/>
      <c r="P26" s="19">
        <f t="shared" si="3"/>
        <v>0</v>
      </c>
      <c r="Q26" s="239"/>
      <c r="R26" s="123">
        <v>0</v>
      </c>
      <c r="U26" s="399"/>
      <c r="AJ26" s="59"/>
      <c r="AK26" s="59"/>
      <c r="AL26" s="59"/>
      <c r="AM26" s="96"/>
      <c r="AN26" s="94"/>
      <c r="AO26" s="94"/>
      <c r="AP26" s="90"/>
      <c r="AQ26" s="98">
        <f t="shared" si="0"/>
        <v>0</v>
      </c>
      <c r="AR26" s="90"/>
      <c r="AS26" s="98">
        <f t="shared" si="1"/>
        <v>0</v>
      </c>
      <c r="AT26" s="98">
        <f t="shared" si="2"/>
        <v>0</v>
      </c>
      <c r="AU26" s="59"/>
      <c r="AV26" s="59"/>
      <c r="AW26" s="59"/>
      <c r="AX26" s="59"/>
      <c r="AY26" s="59"/>
      <c r="AZ26" s="59"/>
      <c r="BA26" s="59"/>
    </row>
    <row r="27" spans="2:53" x14ac:dyDescent="0.25">
      <c r="B27" s="87" t="s">
        <v>201</v>
      </c>
      <c r="C27" t="s">
        <v>65</v>
      </c>
      <c r="F27" s="122">
        <v>2793</v>
      </c>
      <c r="G27" s="19"/>
      <c r="H27" s="19">
        <v>167596</v>
      </c>
      <c r="I27" s="19"/>
      <c r="J27" s="123">
        <v>322663</v>
      </c>
      <c r="K27" s="19"/>
      <c r="L27" s="122">
        <v>254465</v>
      </c>
      <c r="M27" s="19"/>
      <c r="N27" s="19">
        <v>254465</v>
      </c>
      <c r="O27" s="19"/>
      <c r="P27" s="19">
        <f t="shared" si="3"/>
        <v>44417</v>
      </c>
      <c r="Q27" s="239"/>
      <c r="R27" s="123">
        <v>298882</v>
      </c>
      <c r="U27" s="399"/>
      <c r="AJ27" s="59"/>
      <c r="AK27" s="59"/>
      <c r="AL27" s="59"/>
      <c r="AM27" s="96"/>
      <c r="AN27" s="94"/>
      <c r="AO27" s="94"/>
      <c r="AP27" s="90"/>
      <c r="AQ27" s="98">
        <f t="shared" si="0"/>
        <v>0</v>
      </c>
      <c r="AR27" s="90"/>
      <c r="AS27" s="98">
        <f t="shared" si="1"/>
        <v>0</v>
      </c>
      <c r="AT27" s="98">
        <f t="shared" si="2"/>
        <v>0</v>
      </c>
      <c r="AU27" s="59"/>
      <c r="AV27" s="59"/>
      <c r="AW27" s="59"/>
      <c r="AX27" s="59"/>
      <c r="AY27" s="59"/>
      <c r="AZ27" s="59"/>
      <c r="BA27" s="59"/>
    </row>
    <row r="28" spans="2:53" x14ac:dyDescent="0.25">
      <c r="B28" s="87" t="s">
        <v>202</v>
      </c>
      <c r="C28" t="s">
        <v>66</v>
      </c>
      <c r="F28" s="122">
        <v>0</v>
      </c>
      <c r="G28" s="19"/>
      <c r="H28" s="19">
        <v>0</v>
      </c>
      <c r="I28" s="19"/>
      <c r="J28" s="123">
        <v>0</v>
      </c>
      <c r="K28" s="19"/>
      <c r="L28" s="122">
        <v>0</v>
      </c>
      <c r="M28" s="19"/>
      <c r="N28" s="19">
        <v>0</v>
      </c>
      <c r="O28" s="19"/>
      <c r="P28" s="19">
        <f t="shared" si="3"/>
        <v>0</v>
      </c>
      <c r="Q28" s="239"/>
      <c r="R28" s="123">
        <v>0</v>
      </c>
      <c r="U28" s="399"/>
      <c r="AJ28" s="59"/>
      <c r="AK28" s="59"/>
      <c r="AL28" s="59"/>
      <c r="AM28" s="96"/>
      <c r="AN28" s="94"/>
      <c r="AO28" s="94"/>
      <c r="AP28" s="90"/>
      <c r="AQ28" s="98">
        <f t="shared" si="0"/>
        <v>0</v>
      </c>
      <c r="AR28" s="90"/>
      <c r="AS28" s="98">
        <f t="shared" si="1"/>
        <v>0</v>
      </c>
      <c r="AT28" s="98">
        <f t="shared" si="2"/>
        <v>0</v>
      </c>
      <c r="AU28" s="59"/>
      <c r="AV28" s="59"/>
      <c r="AW28" s="59"/>
      <c r="AX28" s="59"/>
      <c r="AY28" s="59"/>
      <c r="AZ28" s="59"/>
      <c r="BA28" s="59"/>
    </row>
    <row r="29" spans="2:53" x14ac:dyDescent="0.25">
      <c r="B29" s="87" t="s">
        <v>203</v>
      </c>
      <c r="C29" t="s">
        <v>67</v>
      </c>
      <c r="F29" s="131">
        <v>0</v>
      </c>
      <c r="G29" s="19"/>
      <c r="H29" s="132">
        <v>0</v>
      </c>
      <c r="I29" s="19"/>
      <c r="J29" s="133">
        <v>0</v>
      </c>
      <c r="K29" s="19"/>
      <c r="L29" s="131">
        <v>0</v>
      </c>
      <c r="M29" s="19"/>
      <c r="N29" s="132">
        <v>0</v>
      </c>
      <c r="O29" s="19"/>
      <c r="P29" s="132">
        <f t="shared" si="3"/>
        <v>0</v>
      </c>
      <c r="Q29" s="239"/>
      <c r="R29" s="133">
        <v>0</v>
      </c>
      <c r="U29" s="399"/>
      <c r="AJ29" s="59"/>
      <c r="AK29" s="59"/>
      <c r="AL29" s="59"/>
      <c r="AM29" s="96"/>
      <c r="AN29" s="94"/>
      <c r="AO29" s="94"/>
      <c r="AP29" s="90"/>
      <c r="AQ29" s="98">
        <f t="shared" si="0"/>
        <v>0</v>
      </c>
      <c r="AR29" s="90"/>
      <c r="AS29" s="98">
        <f t="shared" si="1"/>
        <v>0</v>
      </c>
      <c r="AT29" s="98">
        <f t="shared" si="2"/>
        <v>0</v>
      </c>
      <c r="AU29" s="59"/>
      <c r="AV29" s="59"/>
      <c r="AW29" s="59"/>
      <c r="AX29" s="59"/>
      <c r="AY29" s="59"/>
      <c r="AZ29" s="59"/>
      <c r="BA29" s="59"/>
    </row>
    <row r="30" spans="2:53" x14ac:dyDescent="0.25">
      <c r="B30" s="7" t="s">
        <v>50</v>
      </c>
      <c r="F30" s="122">
        <f>SUM(F20:F29)</f>
        <v>2793</v>
      </c>
      <c r="G30" s="19"/>
      <c r="H30" s="19">
        <f>SUM(H20:H29)</f>
        <v>167596</v>
      </c>
      <c r="I30" s="19"/>
      <c r="J30" s="123">
        <f>SUM(J21:J29)</f>
        <v>322663</v>
      </c>
      <c r="K30" s="19"/>
      <c r="L30" s="122">
        <f>SUM(L20:L29)</f>
        <v>254465</v>
      </c>
      <c r="M30" s="19"/>
      <c r="N30" s="19">
        <f>SUM(N20:N29)</f>
        <v>254465</v>
      </c>
      <c r="O30" s="19"/>
      <c r="P30" s="19">
        <f>SUM(P20:P29)</f>
        <v>44417</v>
      </c>
      <c r="Q30" s="239"/>
      <c r="R30" s="123">
        <f>SUM(R20:R29)</f>
        <v>298882</v>
      </c>
      <c r="U30" s="399"/>
      <c r="AJ30" s="59"/>
      <c r="AK30" s="59"/>
      <c r="AL30" s="59"/>
      <c r="AM30" s="96"/>
      <c r="AN30" s="94"/>
      <c r="AO30" s="94"/>
      <c r="AP30" s="90"/>
      <c r="AQ30" s="98">
        <f t="shared" si="0"/>
        <v>0</v>
      </c>
      <c r="AR30" s="90"/>
      <c r="AS30" s="98">
        <f t="shared" si="1"/>
        <v>0</v>
      </c>
      <c r="AT30" s="98">
        <f t="shared" si="2"/>
        <v>0</v>
      </c>
      <c r="AU30" s="59"/>
      <c r="AV30" s="59"/>
      <c r="AW30" s="59"/>
      <c r="AX30" s="59"/>
      <c r="AY30" s="59"/>
      <c r="AZ30" s="59"/>
      <c r="BA30" s="59"/>
    </row>
    <row r="31" spans="2:53" x14ac:dyDescent="0.25">
      <c r="F31" s="122"/>
      <c r="G31" s="19"/>
      <c r="H31" s="19"/>
      <c r="I31" s="19"/>
      <c r="J31" s="123"/>
      <c r="K31" s="19"/>
      <c r="L31" s="122"/>
      <c r="M31" s="19"/>
      <c r="N31" s="19"/>
      <c r="O31" s="19"/>
      <c r="P31" s="19"/>
      <c r="Q31" s="239"/>
      <c r="R31" s="123"/>
      <c r="U31" s="399"/>
      <c r="AJ31" s="59"/>
      <c r="AK31" s="59"/>
      <c r="AL31" s="59"/>
      <c r="AM31" s="96"/>
      <c r="AN31" s="94"/>
      <c r="AO31" s="94"/>
      <c r="AP31" s="90"/>
      <c r="AQ31" s="98">
        <f t="shared" si="0"/>
        <v>0</v>
      </c>
      <c r="AR31" s="90"/>
      <c r="AS31" s="98">
        <f t="shared" si="1"/>
        <v>0</v>
      </c>
      <c r="AT31" s="98">
        <f t="shared" si="2"/>
        <v>0</v>
      </c>
      <c r="AU31" s="59"/>
      <c r="AV31" s="59"/>
      <c r="AW31" s="59"/>
      <c r="AX31" s="59"/>
      <c r="AY31" s="59"/>
      <c r="AZ31" s="59"/>
      <c r="BA31" s="59"/>
    </row>
    <row r="32" spans="2:53" ht="14.1" customHeight="1" thickBot="1" x14ac:dyDescent="0.3">
      <c r="D32" s="53" t="s">
        <v>193</v>
      </c>
      <c r="F32" s="134">
        <f>+F16-F30</f>
        <v>89816</v>
      </c>
      <c r="G32" s="135"/>
      <c r="H32" s="135">
        <f>+H16-H30</f>
        <v>547627</v>
      </c>
      <c r="I32" s="135"/>
      <c r="J32" s="136">
        <f>+J16-J30</f>
        <v>-9792</v>
      </c>
      <c r="K32" s="135"/>
      <c r="L32" s="134">
        <f>+L16-L30</f>
        <v>0</v>
      </c>
      <c r="M32" s="135"/>
      <c r="N32" s="135">
        <f>+N16-N30</f>
        <v>0</v>
      </c>
      <c r="O32" s="135"/>
      <c r="P32" s="135">
        <f>+P16-P30</f>
        <v>0</v>
      </c>
      <c r="Q32" s="243"/>
      <c r="R32" s="136">
        <f>+R16-R30</f>
        <v>0</v>
      </c>
      <c r="U32" s="399"/>
      <c r="AJ32" s="59"/>
      <c r="AK32" s="59"/>
      <c r="AL32" s="59"/>
      <c r="AM32" s="96"/>
      <c r="AN32" s="94"/>
      <c r="AO32" s="94"/>
      <c r="AP32" s="90"/>
      <c r="AQ32" s="98">
        <f t="shared" si="0"/>
        <v>0</v>
      </c>
      <c r="AR32" s="90"/>
      <c r="AS32" s="98">
        <f t="shared" si="1"/>
        <v>0</v>
      </c>
      <c r="AT32" s="98">
        <f t="shared" si="2"/>
        <v>0</v>
      </c>
      <c r="AU32" s="59"/>
      <c r="AV32" s="59"/>
      <c r="AW32" s="59"/>
      <c r="AX32" s="59"/>
      <c r="AY32" s="59"/>
      <c r="AZ32" s="59"/>
      <c r="BA32" s="59"/>
    </row>
    <row r="33" spans="2:53" ht="15.75" thickTop="1" x14ac:dyDescent="0.25">
      <c r="F33" s="122"/>
      <c r="G33" s="19"/>
      <c r="H33" s="19"/>
      <c r="I33" s="19"/>
      <c r="J33" s="123"/>
      <c r="K33" s="19"/>
      <c r="L33" s="122"/>
      <c r="M33" s="19"/>
      <c r="N33" s="19"/>
      <c r="O33" s="19"/>
      <c r="P33" s="19"/>
      <c r="Q33" s="239"/>
      <c r="R33" s="123"/>
      <c r="U33" s="399"/>
      <c r="AJ33" s="59"/>
      <c r="AK33" s="59"/>
      <c r="AL33" s="59"/>
      <c r="AM33" s="96"/>
      <c r="AN33" s="94"/>
      <c r="AO33" s="94"/>
      <c r="AP33" s="90"/>
      <c r="AQ33" s="98">
        <f t="shared" si="0"/>
        <v>0</v>
      </c>
      <c r="AR33" s="90"/>
      <c r="AS33" s="98">
        <f t="shared" si="1"/>
        <v>0</v>
      </c>
      <c r="AT33" s="98">
        <f t="shared" si="2"/>
        <v>0</v>
      </c>
      <c r="AU33" s="59"/>
      <c r="AV33" s="59"/>
      <c r="AW33" s="59"/>
      <c r="AX33" s="59"/>
      <c r="AY33" s="59"/>
      <c r="AZ33" s="59"/>
      <c r="BA33" s="59"/>
    </row>
    <row r="34" spans="2:53" x14ac:dyDescent="0.25">
      <c r="B34" s="7" t="s">
        <v>53</v>
      </c>
      <c r="F34" s="122"/>
      <c r="G34" s="19"/>
      <c r="H34" s="19"/>
      <c r="I34" s="19"/>
      <c r="J34" s="123"/>
      <c r="K34" s="19"/>
      <c r="L34" s="122"/>
      <c r="M34" s="19"/>
      <c r="N34" s="19"/>
      <c r="O34" s="19"/>
      <c r="P34" s="19"/>
      <c r="Q34" s="239"/>
      <c r="R34" s="123"/>
      <c r="U34" s="399"/>
      <c r="AJ34" s="59"/>
      <c r="AK34" s="59"/>
      <c r="AL34" s="59"/>
      <c r="AM34" s="96"/>
      <c r="AN34" s="94"/>
      <c r="AO34" s="94"/>
      <c r="AP34" s="90"/>
      <c r="AQ34" s="98">
        <f t="shared" si="0"/>
        <v>0</v>
      </c>
      <c r="AR34" s="90"/>
      <c r="AS34" s="98">
        <f t="shared" si="1"/>
        <v>0</v>
      </c>
      <c r="AT34" s="98">
        <f t="shared" si="2"/>
        <v>0</v>
      </c>
      <c r="AU34" s="59"/>
      <c r="AV34" s="59"/>
      <c r="AW34" s="59"/>
      <c r="AX34" s="59"/>
      <c r="AY34" s="59"/>
      <c r="AZ34" s="59"/>
      <c r="BA34" s="59"/>
    </row>
    <row r="35" spans="2:53" ht="15.75" thickBot="1" x14ac:dyDescent="0.3">
      <c r="C35" t="s">
        <v>211</v>
      </c>
      <c r="F35" s="131">
        <f>F9+F32</f>
        <v>1275495</v>
      </c>
      <c r="G35" s="132"/>
      <c r="H35" s="132">
        <f>H9+H32</f>
        <v>1823122</v>
      </c>
      <c r="I35" s="132"/>
      <c r="J35" s="133">
        <f>J9+J32</f>
        <v>1813330</v>
      </c>
      <c r="K35" s="19"/>
      <c r="L35" s="131">
        <f>+L9+L16-L30</f>
        <v>995730</v>
      </c>
      <c r="M35" s="19"/>
      <c r="N35" s="132">
        <f>+N9+N16-N30</f>
        <v>1813330</v>
      </c>
      <c r="O35" s="19"/>
      <c r="P35" s="132">
        <f>R35-L35</f>
        <v>817600</v>
      </c>
      <c r="Q35" s="239"/>
      <c r="R35" s="133">
        <f>+R9+R16-R30</f>
        <v>1813330</v>
      </c>
      <c r="U35" s="399"/>
      <c r="X35" s="186" t="s">
        <v>301</v>
      </c>
      <c r="Y35" s="186"/>
      <c r="Z35" s="186"/>
      <c r="AA35" s="186"/>
      <c r="AJ35" s="59"/>
      <c r="AK35" s="59"/>
      <c r="AL35" s="59"/>
      <c r="AM35" s="96"/>
      <c r="AN35" s="94"/>
      <c r="AO35" s="94"/>
      <c r="AP35" s="90"/>
      <c r="AQ35" s="98">
        <f t="shared" si="0"/>
        <v>0</v>
      </c>
      <c r="AR35" s="90"/>
      <c r="AS35" s="98">
        <f t="shared" si="1"/>
        <v>0</v>
      </c>
      <c r="AT35" s="98">
        <f t="shared" si="2"/>
        <v>0</v>
      </c>
      <c r="AU35" s="59"/>
      <c r="AV35" s="59"/>
      <c r="AW35" s="59"/>
      <c r="AX35" s="59"/>
      <c r="AY35" s="59"/>
      <c r="AZ35" s="59"/>
      <c r="BA35" s="59"/>
    </row>
    <row r="36" spans="2:53" ht="15.75" thickBot="1" x14ac:dyDescent="0.3">
      <c r="B36" s="7" t="s">
        <v>212</v>
      </c>
      <c r="F36" s="144">
        <f>SUM(F34:F35)</f>
        <v>1275495</v>
      </c>
      <c r="G36" s="145"/>
      <c r="H36" s="145">
        <f>SUM(H34:H35)</f>
        <v>1823122</v>
      </c>
      <c r="I36" s="145"/>
      <c r="J36" s="139">
        <f>SUM(J34:J35)</f>
        <v>1813330</v>
      </c>
      <c r="K36" s="19"/>
      <c r="L36" s="137">
        <f>SUM(L34:L35)</f>
        <v>995730</v>
      </c>
      <c r="M36" s="138"/>
      <c r="N36" s="138">
        <f>SUM(N34:N35)</f>
        <v>1813330</v>
      </c>
      <c r="O36" s="138"/>
      <c r="P36" s="138">
        <f>SUM(P34:P35)</f>
        <v>817600</v>
      </c>
      <c r="Q36" s="239"/>
      <c r="R36" s="140">
        <f>SUM(R34:R35)</f>
        <v>1813330</v>
      </c>
      <c r="U36" s="399"/>
      <c r="W36" s="112" t="s">
        <v>366</v>
      </c>
      <c r="X36" s="112" t="s">
        <v>292</v>
      </c>
      <c r="Y36" s="112" t="s">
        <v>277</v>
      </c>
      <c r="Z36" s="112" t="s">
        <v>356</v>
      </c>
      <c r="AA36" s="112" t="s">
        <v>127</v>
      </c>
      <c r="AB36" s="112" t="s">
        <v>276</v>
      </c>
      <c r="AC36" s="112" t="s">
        <v>278</v>
      </c>
      <c r="AD36" s="183" t="s">
        <v>364</v>
      </c>
      <c r="AE36" s="183"/>
      <c r="AJ36" s="59"/>
      <c r="AK36" s="59"/>
      <c r="AL36" s="59"/>
      <c r="AM36" s="96"/>
      <c r="AN36" s="94"/>
      <c r="AO36" s="94"/>
      <c r="AP36" s="90"/>
      <c r="AQ36" s="98">
        <f t="shared" si="0"/>
        <v>0</v>
      </c>
      <c r="AR36" s="90"/>
      <c r="AS36" s="98">
        <f t="shared" ref="AS36:AS38" si="4">AQ36+AR36</f>
        <v>0</v>
      </c>
      <c r="AT36" s="98">
        <f t="shared" ref="AT36:AT38" si="5">+AS36+AP36</f>
        <v>0</v>
      </c>
      <c r="AU36" s="59"/>
      <c r="AV36" s="59"/>
      <c r="AW36" s="59"/>
      <c r="AX36" s="59"/>
      <c r="AY36" s="59"/>
      <c r="AZ36" s="59"/>
      <c r="BA36" s="59"/>
    </row>
    <row r="37" spans="2:53" ht="15.75" thickBot="1" x14ac:dyDescent="0.3"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U37" s="399"/>
      <c r="AJ37" s="59"/>
      <c r="AK37" s="59"/>
      <c r="AL37" s="59"/>
      <c r="AM37" s="96"/>
      <c r="AN37" s="94"/>
      <c r="AO37" s="94"/>
      <c r="AP37" s="90"/>
      <c r="AQ37" s="98">
        <f t="shared" si="0"/>
        <v>0</v>
      </c>
      <c r="AR37" s="90"/>
      <c r="AS37" s="98">
        <f t="shared" ref="AS37" si="6">AQ37+AR37</f>
        <v>0</v>
      </c>
      <c r="AT37" s="98">
        <f t="shared" ref="AT37" si="7">+AS37+AP37</f>
        <v>0</v>
      </c>
      <c r="AU37" s="59"/>
      <c r="AV37" s="59"/>
      <c r="AW37" s="59"/>
      <c r="AX37" s="59"/>
      <c r="AY37" s="59"/>
      <c r="AZ37" s="59"/>
      <c r="BA37" s="59"/>
    </row>
    <row r="38" spans="2:53" ht="15.75" thickBot="1" x14ac:dyDescent="0.3">
      <c r="J38" s="53" t="s">
        <v>268</v>
      </c>
      <c r="L38" s="143">
        <f>+L36+L30</f>
        <v>1250195</v>
      </c>
      <c r="M38" s="88"/>
      <c r="N38" s="88"/>
      <c r="O38" s="88"/>
      <c r="P38" s="88"/>
      <c r="R38" s="143">
        <f>+R36+R30</f>
        <v>2112212</v>
      </c>
      <c r="U38" s="399"/>
      <c r="AL38" s="59"/>
      <c r="AM38" s="96"/>
      <c r="AN38" s="94"/>
      <c r="AO38" s="94"/>
      <c r="AP38" s="90"/>
      <c r="AQ38" s="98">
        <f t="shared" si="0"/>
        <v>0</v>
      </c>
      <c r="AR38" s="90"/>
      <c r="AS38" s="98">
        <f t="shared" si="4"/>
        <v>0</v>
      </c>
      <c r="AT38" s="98">
        <f t="shared" si="5"/>
        <v>0</v>
      </c>
    </row>
    <row r="39" spans="2:53" x14ac:dyDescent="0.25">
      <c r="U39" s="399"/>
      <c r="AL39" s="59"/>
      <c r="AM39" s="96"/>
      <c r="AN39" s="94"/>
      <c r="AO39" s="94"/>
      <c r="AP39" s="90"/>
      <c r="AQ39" s="98">
        <f t="shared" si="0"/>
        <v>0</v>
      </c>
      <c r="AR39" s="90"/>
      <c r="AS39" s="98">
        <f t="shared" si="1"/>
        <v>0</v>
      </c>
      <c r="AT39" s="98">
        <f t="shared" si="2"/>
        <v>0</v>
      </c>
    </row>
  </sheetData>
  <mergeCells count="9">
    <mergeCell ref="W3:AC3"/>
    <mergeCell ref="AU3:BA3"/>
    <mergeCell ref="W4:AC4"/>
    <mergeCell ref="AU4:BA4"/>
    <mergeCell ref="A1:R1"/>
    <mergeCell ref="A2:R2"/>
    <mergeCell ref="A3:R3"/>
    <mergeCell ref="A4:R4"/>
    <mergeCell ref="U1:U39"/>
  </mergeCells>
  <pageMargins left="0.27" right="0.25" top="0.43" bottom="0.4" header="0.3" footer="0.17"/>
  <pageSetup scale="74" orientation="portrait" r:id="rId1"/>
  <headerFooter>
    <oddFooter>&amp;L&amp;D &amp;F&amp;C26&amp;R&amp;A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4">
    <pageSetUpPr fitToPage="1"/>
  </sheetPr>
  <dimension ref="A1:BA39"/>
  <sheetViews>
    <sheetView workbookViewId="0">
      <selection activeCell="C5" sqref="C5"/>
    </sheetView>
  </sheetViews>
  <sheetFormatPr defaultRowHeight="15" x14ac:dyDescent="0.25"/>
  <cols>
    <col min="1" max="1" width="2.42578125" customWidth="1"/>
    <col min="2" max="2" width="7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4.42578125" hidden="1" customWidth="1"/>
    <col min="31" max="32" width="18" hidden="1" customWidth="1"/>
    <col min="33" max="33" width="17.42578125" hidden="1" customWidth="1"/>
    <col min="34" max="34" width="16.140625" hidden="1" customWidth="1"/>
    <col min="35" max="36" width="0" hidden="1" customWidth="1"/>
    <col min="37" max="37" width="13.85546875" hidden="1" customWidth="1"/>
    <col min="38" max="42" width="0" hidden="1" customWidth="1"/>
    <col min="43" max="43" width="12.42578125" hidden="1" customWidth="1"/>
    <col min="44" max="44" width="10" hidden="1" customWidth="1"/>
    <col min="45" max="45" width="20.42578125" hidden="1" customWidth="1"/>
    <col min="46" max="46" width="18.140625" hidden="1" customWidth="1"/>
    <col min="47" max="52" width="0" hidden="1" customWidth="1"/>
    <col min="53" max="53" width="12.85546875" hidden="1" customWidth="1"/>
    <col min="54" max="54" width="0" hidden="1" customWidth="1"/>
  </cols>
  <sheetData>
    <row r="1" spans="1:53" x14ac:dyDescent="0.25">
      <c r="A1" s="404" t="str">
        <f>TOC!$A$1</f>
        <v xml:space="preserve">                  Eaton School District RE-2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1"/>
      <c r="U1" s="399" t="s">
        <v>234</v>
      </c>
    </row>
    <row r="2" spans="1:53" x14ac:dyDescent="0.25">
      <c r="A2" s="405" t="str">
        <f>+Cover!E11</f>
        <v xml:space="preserve">     Adopted Budget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1"/>
      <c r="U2" s="399"/>
    </row>
    <row r="3" spans="1:53" ht="16.5" thickBot="1" x14ac:dyDescent="0.3">
      <c r="A3" s="405" t="s">
        <v>420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1"/>
      <c r="U3" s="399"/>
      <c r="W3" s="400" t="s">
        <v>173</v>
      </c>
      <c r="X3" s="400"/>
      <c r="Y3" s="400"/>
      <c r="Z3" s="400"/>
      <c r="AA3" s="400"/>
      <c r="AB3" s="400"/>
      <c r="AC3" s="400"/>
      <c r="AJ3" s="59"/>
      <c r="AK3" s="59"/>
      <c r="AL3" s="59"/>
      <c r="AM3" s="5"/>
      <c r="AN3" s="5"/>
      <c r="AO3" s="5"/>
      <c r="AP3" s="5"/>
      <c r="AU3" s="400" t="s">
        <v>173</v>
      </c>
      <c r="AV3" s="400"/>
      <c r="AW3" s="400"/>
      <c r="AX3" s="400"/>
      <c r="AY3" s="400"/>
      <c r="AZ3" s="400"/>
      <c r="BA3" s="400"/>
    </row>
    <row r="4" spans="1:53" ht="16.5" thickBot="1" x14ac:dyDescent="0.3">
      <c r="A4" s="405" t="str">
        <f>+Cover!E14</f>
        <v xml:space="preserve">                   FY 2026/27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1"/>
      <c r="U4" s="399"/>
      <c r="W4" s="401" t="s">
        <v>273</v>
      </c>
      <c r="X4" s="401"/>
      <c r="Y4" s="401"/>
      <c r="Z4" s="401"/>
      <c r="AA4" s="401"/>
      <c r="AB4" s="401"/>
      <c r="AC4" s="401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  <c r="AJ4" s="104"/>
      <c r="AK4" s="104"/>
      <c r="AL4" s="59"/>
      <c r="AM4" s="96"/>
      <c r="AN4" s="94"/>
      <c r="AO4" s="94"/>
      <c r="AP4" s="101" t="s">
        <v>238</v>
      </c>
      <c r="AQ4" s="103">
        <f>+BudgetAssump!$K$23+BudgetAssump!K24</f>
        <v>0.22850000000000001</v>
      </c>
      <c r="AR4" s="90"/>
      <c r="AS4" s="98" t="s">
        <v>236</v>
      </c>
      <c r="AT4" s="98"/>
      <c r="AU4" s="401" t="s">
        <v>272</v>
      </c>
      <c r="AV4" s="401"/>
      <c r="AW4" s="401"/>
      <c r="AX4" s="401"/>
      <c r="AY4" s="401"/>
      <c r="AZ4" s="401"/>
      <c r="BA4" s="401"/>
    </row>
    <row r="5" spans="1:53" ht="15.7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0" t="str">
        <f>'Activity 23'!P5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  <c r="AJ5" s="59" t="s">
        <v>231</v>
      </c>
      <c r="AK5" s="59" t="s">
        <v>231</v>
      </c>
      <c r="AL5" s="59" t="s">
        <v>231</v>
      </c>
      <c r="AM5" s="96" t="s">
        <v>232</v>
      </c>
      <c r="AN5" s="96" t="s">
        <v>232</v>
      </c>
      <c r="AO5" s="96" t="s">
        <v>232</v>
      </c>
      <c r="AP5" s="90" t="s">
        <v>232</v>
      </c>
      <c r="AQ5" s="98" t="s">
        <v>232</v>
      </c>
      <c r="AR5" s="90" t="s">
        <v>232</v>
      </c>
      <c r="AS5" s="98" t="s">
        <v>232</v>
      </c>
      <c r="AT5" s="98"/>
      <c r="AU5" s="90" t="s">
        <v>231</v>
      </c>
      <c r="AV5" s="90" t="s">
        <v>231</v>
      </c>
      <c r="AW5" s="90" t="s">
        <v>231</v>
      </c>
      <c r="AX5" s="90" t="s">
        <v>231</v>
      </c>
      <c r="AY5" s="90" t="s">
        <v>231</v>
      </c>
      <c r="AZ5" s="90" t="s">
        <v>231</v>
      </c>
      <c r="BA5" s="59" t="s">
        <v>231</v>
      </c>
    </row>
    <row r="6" spans="1:53" ht="15.75" thickBot="1" x14ac:dyDescent="0.3">
      <c r="F6" s="223" t="str">
        <f>'GF Summary 10'!$F$7</f>
        <v>FY 22-23</v>
      </c>
      <c r="G6" s="225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'Activity 23'!P6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69" t="e">
        <f>+#REF!</f>
        <v>#REF!</v>
      </c>
      <c r="AF6" s="69" t="e">
        <f>+#REF!</f>
        <v>#REF!</v>
      </c>
      <c r="AG6" s="69" t="e">
        <f>+#REF!</f>
        <v>#REF!</v>
      </c>
      <c r="AH6" s="69" t="e">
        <f>+#REF!</f>
        <v>#REF!</v>
      </c>
      <c r="AJ6" s="102" t="s">
        <v>138</v>
      </c>
      <c r="AK6" s="102" t="s">
        <v>150</v>
      </c>
      <c r="AL6" s="102" t="s">
        <v>235</v>
      </c>
      <c r="AM6" s="97" t="s">
        <v>140</v>
      </c>
      <c r="AN6" s="95" t="s">
        <v>141</v>
      </c>
      <c r="AO6" s="95" t="s">
        <v>142</v>
      </c>
      <c r="AP6" s="93" t="s">
        <v>143</v>
      </c>
      <c r="AQ6" s="99" t="s">
        <v>161</v>
      </c>
      <c r="AR6" s="93" t="s">
        <v>162</v>
      </c>
      <c r="AS6" s="99" t="s">
        <v>283</v>
      </c>
      <c r="AT6" s="99" t="s">
        <v>237</v>
      </c>
      <c r="AU6" s="58" t="s">
        <v>144</v>
      </c>
      <c r="AV6" s="58" t="s">
        <v>139</v>
      </c>
      <c r="AW6" s="58" t="s">
        <v>145</v>
      </c>
      <c r="AX6" s="58" t="s">
        <v>146</v>
      </c>
      <c r="AY6" s="58" t="s">
        <v>147</v>
      </c>
      <c r="AZ6" s="58" t="s">
        <v>148</v>
      </c>
      <c r="BA6" s="102" t="s">
        <v>149</v>
      </c>
    </row>
    <row r="7" spans="1:53" x14ac:dyDescent="0.25">
      <c r="B7" s="7" t="s">
        <v>29</v>
      </c>
      <c r="F7" s="371"/>
      <c r="G7" s="128"/>
      <c r="H7" s="217"/>
      <c r="I7" s="128"/>
      <c r="J7" s="372"/>
      <c r="K7" s="19"/>
      <c r="L7" s="371"/>
      <c r="M7" s="128"/>
      <c r="N7" s="217"/>
      <c r="O7" s="128"/>
      <c r="P7" s="128"/>
      <c r="Q7" s="239"/>
      <c r="R7" s="372"/>
      <c r="S7" s="5"/>
      <c r="U7" s="399"/>
      <c r="W7" s="59"/>
      <c r="X7" s="59"/>
      <c r="Y7" s="59"/>
      <c r="Z7" s="59"/>
      <c r="AA7" s="59"/>
      <c r="AB7" s="59"/>
      <c r="AC7" s="59"/>
      <c r="AD7" s="59"/>
      <c r="AE7" s="90"/>
      <c r="AF7" s="90"/>
      <c r="AG7" s="90"/>
      <c r="AH7" s="91"/>
      <c r="AJ7" s="59"/>
      <c r="AK7" s="59"/>
      <c r="AL7" s="59"/>
      <c r="AM7" s="96"/>
      <c r="AN7" s="94"/>
      <c r="AO7" s="94"/>
      <c r="AP7" s="90"/>
      <c r="AQ7" s="98">
        <f>+AP7*AQ$4</f>
        <v>0</v>
      </c>
      <c r="AR7" s="90"/>
      <c r="AS7" s="98">
        <f>AQ7+AR7</f>
        <v>0</v>
      </c>
      <c r="AT7" s="98">
        <f>+AS7+AP7</f>
        <v>0</v>
      </c>
      <c r="AU7" s="59"/>
      <c r="AV7" s="59"/>
      <c r="AW7" s="59"/>
      <c r="AX7" s="59"/>
      <c r="AY7" s="59"/>
      <c r="AZ7" s="59"/>
      <c r="BA7" s="59"/>
    </row>
    <row r="8" spans="1:53" x14ac:dyDescent="0.25">
      <c r="C8" t="s">
        <v>211</v>
      </c>
      <c r="F8" s="131">
        <v>403208</v>
      </c>
      <c r="G8" s="19"/>
      <c r="H8" s="132">
        <v>407014</v>
      </c>
      <c r="I8" s="19"/>
      <c r="J8" s="123">
        <v>435691</v>
      </c>
      <c r="K8" s="19"/>
      <c r="L8" s="122">
        <v>435691</v>
      </c>
      <c r="M8" s="19"/>
      <c r="N8" s="19">
        <v>514114</v>
      </c>
      <c r="O8" s="19"/>
      <c r="P8" s="19">
        <f>R8-L8</f>
        <v>78423</v>
      </c>
      <c r="Q8" s="239"/>
      <c r="R8" s="123">
        <v>514114</v>
      </c>
      <c r="S8" s="5"/>
      <c r="U8" s="39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2"/>
      <c r="AJ8" s="59"/>
      <c r="AK8" s="59"/>
      <c r="AL8" s="59"/>
      <c r="AM8" s="96"/>
      <c r="AN8" s="94"/>
      <c r="AO8" s="94"/>
      <c r="AP8" s="90"/>
      <c r="AQ8" s="98">
        <f t="shared" ref="AQ8:AQ39" si="0">+AP8*AQ$4</f>
        <v>0</v>
      </c>
      <c r="AR8" s="90"/>
      <c r="AS8" s="98">
        <f t="shared" ref="AS8:AS39" si="1">AQ8+AR8</f>
        <v>0</v>
      </c>
      <c r="AT8" s="98">
        <f t="shared" ref="AT8:AT39" si="2">+AS8+AP8</f>
        <v>0</v>
      </c>
      <c r="AU8" s="59"/>
      <c r="AV8" s="59"/>
      <c r="AW8" s="59"/>
      <c r="AX8" s="59"/>
      <c r="AY8" s="59"/>
      <c r="AZ8" s="59"/>
      <c r="BA8" s="59"/>
    </row>
    <row r="9" spans="1:53" x14ac:dyDescent="0.25">
      <c r="B9" s="7" t="s">
        <v>31</v>
      </c>
      <c r="F9" s="124">
        <f>SUM(F8:F8)</f>
        <v>403208</v>
      </c>
      <c r="G9" s="128"/>
      <c r="H9" s="126">
        <f>SUM(H8:H8)</f>
        <v>407014</v>
      </c>
      <c r="I9" s="128"/>
      <c r="J9" s="127">
        <f>SUM(J8:J8)</f>
        <v>435691</v>
      </c>
      <c r="K9" s="19"/>
      <c r="L9" s="124">
        <f>SUM(L8:L8)</f>
        <v>435691</v>
      </c>
      <c r="M9" s="128"/>
      <c r="N9" s="126">
        <f>SUM(N8:N8)</f>
        <v>514114</v>
      </c>
      <c r="O9" s="128"/>
      <c r="P9" s="126">
        <f>SUM(P8:P8)</f>
        <v>78423</v>
      </c>
      <c r="Q9" s="239"/>
      <c r="R9" s="127">
        <f>SUM(R8:R8)</f>
        <v>514114</v>
      </c>
      <c r="S9" s="5"/>
      <c r="U9" s="39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2"/>
      <c r="AJ9" s="59"/>
      <c r="AK9" s="59"/>
      <c r="AL9" s="59"/>
      <c r="AM9" s="96"/>
      <c r="AN9" s="94"/>
      <c r="AO9" s="94"/>
      <c r="AP9" s="90"/>
      <c r="AQ9" s="98">
        <f t="shared" si="0"/>
        <v>0</v>
      </c>
      <c r="AR9" s="90"/>
      <c r="AS9" s="98">
        <f t="shared" si="1"/>
        <v>0</v>
      </c>
      <c r="AT9" s="98">
        <f t="shared" si="2"/>
        <v>0</v>
      </c>
      <c r="AU9" s="59"/>
      <c r="AV9" s="59"/>
      <c r="AW9" s="59"/>
      <c r="AX9" s="59"/>
      <c r="AY9" s="59"/>
      <c r="AZ9" s="59"/>
      <c r="BA9" s="59"/>
    </row>
    <row r="10" spans="1:53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39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2"/>
      <c r="AJ10" s="59"/>
      <c r="AK10" s="59"/>
      <c r="AL10" s="59"/>
      <c r="AM10" s="96"/>
      <c r="AN10" s="94"/>
      <c r="AO10" s="94"/>
      <c r="AP10" s="90"/>
      <c r="AQ10" s="98">
        <f t="shared" si="0"/>
        <v>0</v>
      </c>
      <c r="AR10" s="90"/>
      <c r="AS10" s="98">
        <f t="shared" si="1"/>
        <v>0</v>
      </c>
      <c r="AT10" s="98">
        <f t="shared" si="2"/>
        <v>0</v>
      </c>
      <c r="AU10" s="59"/>
      <c r="AV10" s="59"/>
      <c r="AW10" s="59"/>
      <c r="AX10" s="59"/>
      <c r="AY10" s="59"/>
      <c r="AZ10" s="59"/>
      <c r="BA10" s="59"/>
    </row>
    <row r="11" spans="1:53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2"/>
      <c r="AJ11" s="59"/>
      <c r="AK11" s="59"/>
      <c r="AL11" s="59"/>
      <c r="AM11" s="96"/>
      <c r="AN11" s="94"/>
      <c r="AO11" s="94"/>
      <c r="AP11" s="90"/>
      <c r="AQ11" s="98">
        <f t="shared" si="0"/>
        <v>0</v>
      </c>
      <c r="AR11" s="90"/>
      <c r="AS11" s="98">
        <f t="shared" si="1"/>
        <v>0</v>
      </c>
      <c r="AT11" s="98">
        <f t="shared" si="2"/>
        <v>0</v>
      </c>
      <c r="AU11" s="59"/>
      <c r="AV11" s="59"/>
      <c r="AW11" s="59"/>
      <c r="AX11" s="59"/>
      <c r="AY11" s="59"/>
      <c r="AZ11" s="59"/>
      <c r="BA11" s="59"/>
    </row>
    <row r="12" spans="1:53" x14ac:dyDescent="0.25">
      <c r="B12" s="7" t="s">
        <v>246</v>
      </c>
      <c r="C12" t="s">
        <v>33</v>
      </c>
      <c r="F12" s="122">
        <v>539756</v>
      </c>
      <c r="G12" s="19"/>
      <c r="H12" s="19">
        <v>581807</v>
      </c>
      <c r="I12" s="19"/>
      <c r="J12" s="123">
        <v>626027</v>
      </c>
      <c r="K12" s="19"/>
      <c r="L12" s="122">
        <v>543559</v>
      </c>
      <c r="M12" s="19"/>
      <c r="N12" s="19">
        <v>543559</v>
      </c>
      <c r="O12" s="19"/>
      <c r="P12" s="19">
        <f t="shared" ref="P12:P15" si="3">R12-L12</f>
        <v>45476</v>
      </c>
      <c r="Q12" s="239"/>
      <c r="R12" s="123">
        <v>589035</v>
      </c>
      <c r="U12" s="39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2"/>
      <c r="AJ12" s="59"/>
      <c r="AK12" s="59"/>
      <c r="AL12" s="59"/>
      <c r="AM12" s="96"/>
      <c r="AN12" s="94"/>
      <c r="AO12" s="94"/>
      <c r="AP12" s="90"/>
      <c r="AQ12" s="98">
        <f t="shared" si="0"/>
        <v>0</v>
      </c>
      <c r="AR12" s="90"/>
      <c r="AS12" s="98">
        <f t="shared" si="1"/>
        <v>0</v>
      </c>
      <c r="AT12" s="98">
        <f t="shared" si="2"/>
        <v>0</v>
      </c>
      <c r="AU12" s="59"/>
      <c r="AV12" s="59"/>
      <c r="AW12" s="59"/>
      <c r="AX12" s="59"/>
      <c r="AY12" s="59"/>
      <c r="AZ12" s="59"/>
      <c r="BA12" s="59"/>
    </row>
    <row r="13" spans="1:53" x14ac:dyDescent="0.25">
      <c r="B13" s="7" t="s">
        <v>247</v>
      </c>
      <c r="C13" t="s">
        <v>35</v>
      </c>
      <c r="F13" s="122">
        <v>0</v>
      </c>
      <c r="G13" s="19"/>
      <c r="H13" s="19">
        <v>0</v>
      </c>
      <c r="I13" s="19"/>
      <c r="J13" s="123">
        <v>0</v>
      </c>
      <c r="K13" s="19"/>
      <c r="L13" s="122">
        <v>0</v>
      </c>
      <c r="M13" s="19"/>
      <c r="N13" s="19">
        <v>0</v>
      </c>
      <c r="O13" s="19"/>
      <c r="P13" s="19">
        <f t="shared" si="3"/>
        <v>0</v>
      </c>
      <c r="Q13" s="239"/>
      <c r="R13" s="123">
        <v>0</v>
      </c>
      <c r="U13" s="39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2"/>
      <c r="AJ13" s="59"/>
      <c r="AK13" s="59"/>
      <c r="AL13" s="59"/>
      <c r="AM13" s="96"/>
      <c r="AN13" s="94"/>
      <c r="AO13" s="94"/>
      <c r="AP13" s="90"/>
      <c r="AQ13" s="98">
        <f t="shared" si="0"/>
        <v>0</v>
      </c>
      <c r="AR13" s="90"/>
      <c r="AS13" s="98">
        <f t="shared" si="1"/>
        <v>0</v>
      </c>
      <c r="AT13" s="98">
        <f t="shared" si="2"/>
        <v>0</v>
      </c>
      <c r="AU13" s="59"/>
      <c r="AV13" s="59"/>
      <c r="AW13" s="59"/>
      <c r="AX13" s="59"/>
      <c r="AY13" s="59"/>
      <c r="AZ13" s="59"/>
      <c r="BA13" s="59"/>
    </row>
    <row r="14" spans="1:53" x14ac:dyDescent="0.25">
      <c r="B14" s="7" t="s">
        <v>248</v>
      </c>
      <c r="C14" t="s">
        <v>36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v>0</v>
      </c>
      <c r="M14" s="19"/>
      <c r="N14" s="19">
        <v>0</v>
      </c>
      <c r="O14" s="19"/>
      <c r="P14" s="19">
        <f t="shared" si="3"/>
        <v>0</v>
      </c>
      <c r="Q14" s="239"/>
      <c r="R14" s="123">
        <v>0</v>
      </c>
      <c r="U14" s="39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2"/>
      <c r="AJ14" s="59"/>
      <c r="AK14" s="59"/>
      <c r="AL14" s="59"/>
      <c r="AM14" s="96"/>
      <c r="AN14" s="94"/>
      <c r="AO14" s="94"/>
      <c r="AP14" s="90"/>
      <c r="AQ14" s="98">
        <f t="shared" si="0"/>
        <v>0</v>
      </c>
      <c r="AR14" s="90"/>
      <c r="AS14" s="98">
        <f t="shared" si="1"/>
        <v>0</v>
      </c>
      <c r="AT14" s="98">
        <f t="shared" si="2"/>
        <v>0</v>
      </c>
      <c r="AU14" s="59"/>
      <c r="AV14" s="59"/>
      <c r="AW14" s="59"/>
      <c r="AX14" s="59"/>
      <c r="AY14" s="59"/>
      <c r="AZ14" s="59"/>
      <c r="BA14" s="59"/>
    </row>
    <row r="15" spans="1:53" x14ac:dyDescent="0.25">
      <c r="B15" s="117">
        <v>5210</v>
      </c>
      <c r="C15" t="s">
        <v>254</v>
      </c>
      <c r="F15" s="131">
        <v>0</v>
      </c>
      <c r="G15" s="19"/>
      <c r="H15" s="132">
        <v>0</v>
      </c>
      <c r="I15" s="19"/>
      <c r="J15" s="133">
        <v>0</v>
      </c>
      <c r="K15" s="19"/>
      <c r="L15" s="131">
        <v>0</v>
      </c>
      <c r="M15" s="19"/>
      <c r="N15" s="132">
        <v>0</v>
      </c>
      <c r="O15" s="19"/>
      <c r="P15" s="132">
        <f t="shared" si="3"/>
        <v>0</v>
      </c>
      <c r="Q15" s="239"/>
      <c r="R15" s="133">
        <v>0</v>
      </c>
      <c r="U15" s="39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2"/>
      <c r="AJ15" s="59"/>
      <c r="AK15" s="59"/>
      <c r="AL15" s="59"/>
      <c r="AM15" s="96"/>
      <c r="AN15" s="94"/>
      <c r="AO15" s="94"/>
      <c r="AP15" s="90"/>
      <c r="AQ15" s="98">
        <f t="shared" si="0"/>
        <v>0</v>
      </c>
      <c r="AR15" s="90"/>
      <c r="AS15" s="98">
        <f t="shared" si="1"/>
        <v>0</v>
      </c>
      <c r="AT15" s="98">
        <f t="shared" si="2"/>
        <v>0</v>
      </c>
      <c r="AU15" s="59"/>
      <c r="AV15" s="59"/>
      <c r="AW15" s="59"/>
      <c r="AX15" s="59"/>
      <c r="AY15" s="59"/>
      <c r="AZ15" s="59"/>
      <c r="BA15" s="59"/>
    </row>
    <row r="16" spans="1:53" x14ac:dyDescent="0.25">
      <c r="B16" s="7" t="s">
        <v>37</v>
      </c>
      <c r="F16" s="122">
        <f>SUM(F11:F15)</f>
        <v>539756</v>
      </c>
      <c r="G16" s="19"/>
      <c r="H16" s="19">
        <f>SUM(H11:H15)</f>
        <v>581807</v>
      </c>
      <c r="I16" s="19"/>
      <c r="J16" s="123">
        <f>SUM(J12:J15)</f>
        <v>626027</v>
      </c>
      <c r="K16" s="19"/>
      <c r="L16" s="122">
        <f>SUM(L11:L15)</f>
        <v>543559</v>
      </c>
      <c r="M16" s="19"/>
      <c r="N16" s="19">
        <f>SUM(N11:N15)</f>
        <v>543559</v>
      </c>
      <c r="O16" s="19"/>
      <c r="P16" s="19">
        <f>SUM(P11:P15)</f>
        <v>45476</v>
      </c>
      <c r="Q16" s="239"/>
      <c r="R16" s="123">
        <f>SUM(R11:R15)</f>
        <v>589035</v>
      </c>
      <c r="U16" s="39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2"/>
      <c r="AJ16" s="59"/>
      <c r="AK16" s="59"/>
      <c r="AL16" s="59"/>
      <c r="AM16" s="96"/>
      <c r="AN16" s="94"/>
      <c r="AO16" s="94"/>
      <c r="AP16" s="90"/>
      <c r="AQ16" s="98">
        <f t="shared" si="0"/>
        <v>0</v>
      </c>
      <c r="AR16" s="90"/>
      <c r="AS16" s="98">
        <f t="shared" si="1"/>
        <v>0</v>
      </c>
      <c r="AT16" s="98">
        <f t="shared" si="2"/>
        <v>0</v>
      </c>
      <c r="AU16" s="59"/>
      <c r="AV16" s="59"/>
      <c r="AW16" s="59"/>
      <c r="AX16" s="59"/>
      <c r="AY16" s="59"/>
      <c r="AZ16" s="59"/>
      <c r="BA16" s="59"/>
    </row>
    <row r="17" spans="2:53" x14ac:dyDescent="0.25">
      <c r="F17" s="122"/>
      <c r="G17" s="19"/>
      <c r="H17" s="19"/>
      <c r="I17" s="19"/>
      <c r="J17" s="123"/>
      <c r="K17" s="19"/>
      <c r="L17" s="122"/>
      <c r="M17" s="19"/>
      <c r="N17" s="19"/>
      <c r="O17" s="19"/>
      <c r="P17" s="19"/>
      <c r="Q17" s="239"/>
      <c r="R17" s="123"/>
      <c r="U17" s="39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2"/>
      <c r="AJ17" s="59"/>
      <c r="AK17" s="59"/>
      <c r="AL17" s="59"/>
      <c r="AM17" s="96"/>
      <c r="AN17" s="94"/>
      <c r="AO17" s="94"/>
      <c r="AP17" s="90"/>
      <c r="AQ17" s="98">
        <f t="shared" si="0"/>
        <v>0</v>
      </c>
      <c r="AR17" s="90"/>
      <c r="AS17" s="98">
        <f t="shared" si="1"/>
        <v>0</v>
      </c>
      <c r="AT17" s="98">
        <f t="shared" si="2"/>
        <v>0</v>
      </c>
      <c r="AU17" s="59"/>
      <c r="AV17" s="59"/>
      <c r="AW17" s="59"/>
      <c r="AX17" s="59"/>
      <c r="AY17" s="59"/>
      <c r="AZ17" s="59"/>
      <c r="BA17" s="59"/>
    </row>
    <row r="18" spans="2:53" x14ac:dyDescent="0.25">
      <c r="B18" s="7" t="s">
        <v>38</v>
      </c>
      <c r="F18" s="131">
        <f>F9+F16</f>
        <v>942964</v>
      </c>
      <c r="G18" s="19"/>
      <c r="H18" s="132">
        <f>H9+H16</f>
        <v>988821</v>
      </c>
      <c r="I18" s="19"/>
      <c r="J18" s="133">
        <f>J9+J16</f>
        <v>1061718</v>
      </c>
      <c r="K18" s="19"/>
      <c r="L18" s="131">
        <f>L9+L16</f>
        <v>979250</v>
      </c>
      <c r="M18" s="19"/>
      <c r="N18" s="132">
        <f>N9+N16</f>
        <v>1057673</v>
      </c>
      <c r="O18" s="19"/>
      <c r="P18" s="132">
        <f>P9+P16</f>
        <v>123899</v>
      </c>
      <c r="Q18" s="239"/>
      <c r="R18" s="133">
        <f>R9+R16</f>
        <v>1103149</v>
      </c>
      <c r="U18" s="399"/>
      <c r="AJ18" s="59"/>
      <c r="AK18" s="59"/>
      <c r="AL18" s="59"/>
      <c r="AM18" s="96"/>
      <c r="AN18" s="94"/>
      <c r="AO18" s="94"/>
      <c r="AP18" s="90"/>
      <c r="AQ18" s="98">
        <f t="shared" si="0"/>
        <v>0</v>
      </c>
      <c r="AR18" s="90"/>
      <c r="AS18" s="98">
        <f t="shared" si="1"/>
        <v>0</v>
      </c>
      <c r="AT18" s="98">
        <f t="shared" si="2"/>
        <v>0</v>
      </c>
      <c r="AU18" s="59"/>
      <c r="AV18" s="59"/>
      <c r="AW18" s="59"/>
      <c r="AX18" s="59"/>
      <c r="AY18" s="59"/>
      <c r="AZ18" s="59"/>
      <c r="BA18" s="59"/>
    </row>
    <row r="19" spans="2:53" x14ac:dyDescent="0.25">
      <c r="F19" s="122"/>
      <c r="G19" s="19"/>
      <c r="H19" s="126"/>
      <c r="I19" s="19"/>
      <c r="J19" s="127"/>
      <c r="K19" s="19"/>
      <c r="L19" s="122"/>
      <c r="M19" s="19"/>
      <c r="N19" s="126"/>
      <c r="O19" s="19"/>
      <c r="P19" s="126"/>
      <c r="Q19" s="239"/>
      <c r="R19" s="127"/>
      <c r="U19" s="399"/>
      <c r="AJ19" s="59"/>
      <c r="AK19" s="59"/>
      <c r="AL19" s="59"/>
      <c r="AM19" s="96"/>
      <c r="AN19" s="94"/>
      <c r="AO19" s="94"/>
      <c r="AP19" s="90"/>
      <c r="AQ19" s="98">
        <f t="shared" si="0"/>
        <v>0</v>
      </c>
      <c r="AR19" s="90"/>
      <c r="AS19" s="98">
        <f t="shared" si="1"/>
        <v>0</v>
      </c>
      <c r="AT19" s="98">
        <f t="shared" si="2"/>
        <v>0</v>
      </c>
      <c r="AU19" s="59"/>
      <c r="AV19" s="59"/>
      <c r="AW19" s="59"/>
      <c r="AX19" s="59"/>
      <c r="AY19" s="59"/>
      <c r="AZ19" s="59"/>
      <c r="BA19" s="59"/>
    </row>
    <row r="20" spans="2:53" x14ac:dyDescent="0.25">
      <c r="B20" s="7" t="s">
        <v>39</v>
      </c>
      <c r="F20" s="122"/>
      <c r="G20" s="19"/>
      <c r="H20" s="19"/>
      <c r="I20" s="19"/>
      <c r="J20" s="123"/>
      <c r="K20" s="19"/>
      <c r="L20" s="122"/>
      <c r="M20" s="19"/>
      <c r="N20" s="19"/>
      <c r="O20" s="19"/>
      <c r="P20" s="19"/>
      <c r="Q20" s="239"/>
      <c r="R20" s="123"/>
      <c r="U20" s="399"/>
      <c r="AJ20" s="59"/>
      <c r="AK20" s="59"/>
      <c r="AL20" s="59"/>
      <c r="AM20" s="96"/>
      <c r="AN20" s="94"/>
      <c r="AO20" s="94"/>
      <c r="AP20" s="90"/>
      <c r="AQ20" s="98">
        <f t="shared" si="0"/>
        <v>0</v>
      </c>
      <c r="AR20" s="90"/>
      <c r="AS20" s="98">
        <f t="shared" si="1"/>
        <v>0</v>
      </c>
      <c r="AT20" s="98">
        <f t="shared" si="2"/>
        <v>0</v>
      </c>
      <c r="AU20" s="59"/>
      <c r="AV20" s="59"/>
      <c r="AW20" s="59"/>
      <c r="AX20" s="59"/>
      <c r="AY20" s="59"/>
      <c r="AZ20" s="59"/>
      <c r="BA20" s="59"/>
    </row>
    <row r="21" spans="2:53" x14ac:dyDescent="0.25">
      <c r="B21" s="87" t="s">
        <v>204</v>
      </c>
      <c r="C21" t="s">
        <v>60</v>
      </c>
      <c r="F21" s="122">
        <v>0</v>
      </c>
      <c r="G21" s="19"/>
      <c r="H21" s="19">
        <v>0</v>
      </c>
      <c r="I21" s="19"/>
      <c r="J21" s="123">
        <v>0</v>
      </c>
      <c r="K21" s="19"/>
      <c r="L21" s="122">
        <v>0</v>
      </c>
      <c r="M21" s="19"/>
      <c r="N21" s="19">
        <v>0</v>
      </c>
      <c r="O21" s="19"/>
      <c r="P21" s="19">
        <f t="shared" ref="P21:P29" si="4">R21-L21</f>
        <v>0</v>
      </c>
      <c r="Q21" s="239"/>
      <c r="R21" s="123">
        <v>0</v>
      </c>
      <c r="U21" s="399"/>
      <c r="AJ21" s="59"/>
      <c r="AK21" s="59"/>
      <c r="AL21" s="59"/>
      <c r="AM21" s="96"/>
      <c r="AN21" s="94"/>
      <c r="AO21" s="94"/>
      <c r="AP21" s="90"/>
      <c r="AQ21" s="98">
        <f t="shared" si="0"/>
        <v>0</v>
      </c>
      <c r="AR21" s="90"/>
      <c r="AS21" s="98">
        <f t="shared" si="1"/>
        <v>0</v>
      </c>
      <c r="AT21" s="98">
        <f t="shared" si="2"/>
        <v>0</v>
      </c>
      <c r="AU21" s="59"/>
      <c r="AV21" s="59"/>
      <c r="AW21" s="59"/>
      <c r="AX21" s="59"/>
      <c r="AY21" s="59"/>
      <c r="AZ21" s="59"/>
      <c r="BA21" s="59"/>
    </row>
    <row r="22" spans="2:53" x14ac:dyDescent="0.25">
      <c r="B22" s="87" t="s">
        <v>196</v>
      </c>
      <c r="C22" t="s">
        <v>61</v>
      </c>
      <c r="F22" s="122">
        <v>0</v>
      </c>
      <c r="G22" s="19"/>
      <c r="H22" s="19">
        <v>0</v>
      </c>
      <c r="I22" s="19"/>
      <c r="J22" s="123">
        <v>0</v>
      </c>
      <c r="K22" s="19"/>
      <c r="L22" s="122">
        <v>0</v>
      </c>
      <c r="M22" s="19"/>
      <c r="N22" s="19">
        <v>0</v>
      </c>
      <c r="O22" s="19"/>
      <c r="P22" s="19">
        <f t="shared" si="4"/>
        <v>0</v>
      </c>
      <c r="Q22" s="239"/>
      <c r="R22" s="123">
        <v>0</v>
      </c>
      <c r="U22" s="399"/>
      <c r="AJ22" s="59"/>
      <c r="AK22" s="59"/>
      <c r="AL22" s="59"/>
      <c r="AM22" s="96"/>
      <c r="AN22" s="94"/>
      <c r="AO22" s="94"/>
      <c r="AP22" s="90"/>
      <c r="AQ22" s="98">
        <f t="shared" si="0"/>
        <v>0</v>
      </c>
      <c r="AR22" s="90"/>
      <c r="AS22" s="98">
        <f t="shared" si="1"/>
        <v>0</v>
      </c>
      <c r="AT22" s="98">
        <f t="shared" si="2"/>
        <v>0</v>
      </c>
      <c r="AU22" s="59"/>
      <c r="AV22" s="59"/>
      <c r="AW22" s="59"/>
      <c r="AX22" s="59"/>
      <c r="AY22" s="59"/>
      <c r="AZ22" s="59"/>
      <c r="BA22" s="59"/>
    </row>
    <row r="23" spans="2:53" x14ac:dyDescent="0.25">
      <c r="B23" s="87" t="s">
        <v>197</v>
      </c>
      <c r="C23" t="s">
        <v>62</v>
      </c>
      <c r="F23" s="122">
        <v>3704</v>
      </c>
      <c r="G23" s="19"/>
      <c r="H23" s="19">
        <v>1005</v>
      </c>
      <c r="I23" s="19"/>
      <c r="J23" s="123">
        <v>7347</v>
      </c>
      <c r="K23" s="19"/>
      <c r="L23" s="122">
        <v>0</v>
      </c>
      <c r="M23" s="19"/>
      <c r="N23" s="19">
        <v>0</v>
      </c>
      <c r="O23" s="19"/>
      <c r="P23" s="19">
        <f t="shared" si="4"/>
        <v>0</v>
      </c>
      <c r="Q23" s="239"/>
      <c r="R23" s="123">
        <v>0</v>
      </c>
      <c r="U23" s="399"/>
      <c r="AJ23" s="59"/>
      <c r="AK23" s="59"/>
      <c r="AL23" s="59"/>
      <c r="AM23" s="96"/>
      <c r="AN23" s="94"/>
      <c r="AO23" s="94"/>
      <c r="AP23" s="90"/>
      <c r="AQ23" s="98">
        <f t="shared" si="0"/>
        <v>0</v>
      </c>
      <c r="AR23" s="90"/>
      <c r="AS23" s="98">
        <f t="shared" si="1"/>
        <v>0</v>
      </c>
      <c r="AT23" s="98">
        <f t="shared" si="2"/>
        <v>0</v>
      </c>
      <c r="AU23" s="59"/>
      <c r="AV23" s="59"/>
      <c r="AW23" s="59"/>
      <c r="AX23" s="59"/>
      <c r="AY23" s="59"/>
      <c r="AZ23" s="59"/>
      <c r="BA23" s="59"/>
    </row>
    <row r="24" spans="2:53" x14ac:dyDescent="0.25">
      <c r="B24" s="87" t="s">
        <v>198</v>
      </c>
      <c r="C24" t="s">
        <v>63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19">
        <v>0</v>
      </c>
      <c r="O24" s="19"/>
      <c r="P24" s="19">
        <f t="shared" si="4"/>
        <v>0</v>
      </c>
      <c r="Q24" s="239"/>
      <c r="R24" s="123">
        <v>0</v>
      </c>
      <c r="U24" s="399"/>
      <c r="AJ24" s="59"/>
      <c r="AK24" s="59"/>
      <c r="AL24" s="59"/>
      <c r="AM24" s="96"/>
      <c r="AN24" s="94"/>
      <c r="AO24" s="94"/>
      <c r="AP24" s="90"/>
      <c r="AQ24" s="98">
        <f t="shared" si="0"/>
        <v>0</v>
      </c>
      <c r="AR24" s="90"/>
      <c r="AS24" s="98">
        <f t="shared" si="1"/>
        <v>0</v>
      </c>
      <c r="AT24" s="98">
        <f t="shared" si="2"/>
        <v>0</v>
      </c>
      <c r="AU24" s="59"/>
      <c r="AV24" s="59"/>
      <c r="AW24" s="59"/>
      <c r="AX24" s="59"/>
      <c r="AY24" s="59"/>
      <c r="AZ24" s="59"/>
      <c r="BA24" s="59"/>
    </row>
    <row r="25" spans="2:53" x14ac:dyDescent="0.25">
      <c r="B25" s="87" t="s">
        <v>199</v>
      </c>
      <c r="C25" t="s">
        <v>49</v>
      </c>
      <c r="F25" s="122">
        <v>29289</v>
      </c>
      <c r="G25" s="19"/>
      <c r="H25" s="19">
        <v>62940</v>
      </c>
      <c r="I25" s="19"/>
      <c r="J25" s="123">
        <v>67164</v>
      </c>
      <c r="K25" s="19"/>
      <c r="L25" s="122">
        <v>0</v>
      </c>
      <c r="M25" s="19"/>
      <c r="N25" s="19">
        <v>0</v>
      </c>
      <c r="O25" s="19"/>
      <c r="P25" s="19">
        <f t="shared" si="4"/>
        <v>0</v>
      </c>
      <c r="Q25" s="239"/>
      <c r="R25" s="123">
        <v>0</v>
      </c>
      <c r="U25" s="399"/>
      <c r="AJ25" s="59"/>
      <c r="AK25" s="59"/>
      <c r="AL25" s="59"/>
      <c r="AM25" s="96"/>
      <c r="AN25" s="94"/>
      <c r="AO25" s="94"/>
      <c r="AP25" s="90"/>
      <c r="AQ25" s="98">
        <f t="shared" si="0"/>
        <v>0</v>
      </c>
      <c r="AR25" s="90"/>
      <c r="AS25" s="98">
        <f t="shared" si="1"/>
        <v>0</v>
      </c>
      <c r="AT25" s="98">
        <f t="shared" si="2"/>
        <v>0</v>
      </c>
      <c r="AU25" s="59"/>
      <c r="AV25" s="59"/>
      <c r="AW25" s="59"/>
      <c r="AX25" s="59"/>
      <c r="AY25" s="59"/>
      <c r="AZ25" s="59"/>
      <c r="BA25" s="59"/>
    </row>
    <row r="26" spans="2:53" x14ac:dyDescent="0.25">
      <c r="B26" s="87" t="s">
        <v>200</v>
      </c>
      <c r="C26" t="s">
        <v>64</v>
      </c>
      <c r="F26" s="122">
        <v>361642</v>
      </c>
      <c r="G26" s="19"/>
      <c r="H26" s="19">
        <v>386823</v>
      </c>
      <c r="I26" s="19"/>
      <c r="J26" s="123">
        <v>340507</v>
      </c>
      <c r="K26" s="19"/>
      <c r="L26" s="122">
        <v>543559</v>
      </c>
      <c r="M26" s="19"/>
      <c r="N26" s="19">
        <v>543559</v>
      </c>
      <c r="O26" s="19"/>
      <c r="P26" s="19">
        <f t="shared" si="4"/>
        <v>45476</v>
      </c>
      <c r="Q26" s="239"/>
      <c r="R26" s="123">
        <v>589035</v>
      </c>
      <c r="U26" s="399"/>
      <c r="AJ26" s="59"/>
      <c r="AK26" s="59"/>
      <c r="AL26" s="59"/>
      <c r="AM26" s="96"/>
      <c r="AN26" s="94"/>
      <c r="AO26" s="94"/>
      <c r="AP26" s="90"/>
      <c r="AQ26" s="98">
        <f t="shared" si="0"/>
        <v>0</v>
      </c>
      <c r="AR26" s="90"/>
      <c r="AS26" s="98">
        <f t="shared" si="1"/>
        <v>0</v>
      </c>
      <c r="AT26" s="98">
        <f t="shared" si="2"/>
        <v>0</v>
      </c>
      <c r="AU26" s="59"/>
      <c r="AV26" s="59"/>
      <c r="AW26" s="59"/>
      <c r="AX26" s="59"/>
      <c r="AY26" s="59"/>
      <c r="AZ26" s="59"/>
      <c r="BA26" s="59"/>
    </row>
    <row r="27" spans="2:53" x14ac:dyDescent="0.25">
      <c r="B27" s="87" t="s">
        <v>201</v>
      </c>
      <c r="C27" t="s">
        <v>65</v>
      </c>
      <c r="F27" s="122">
        <v>32000</v>
      </c>
      <c r="G27" s="19"/>
      <c r="H27" s="19">
        <v>0</v>
      </c>
      <c r="I27" s="19"/>
      <c r="J27" s="123">
        <v>0</v>
      </c>
      <c r="K27" s="19"/>
      <c r="L27" s="122">
        <v>0</v>
      </c>
      <c r="M27" s="19"/>
      <c r="N27" s="19">
        <v>0</v>
      </c>
      <c r="O27" s="19"/>
      <c r="P27" s="19">
        <f t="shared" si="4"/>
        <v>0</v>
      </c>
      <c r="Q27" s="239"/>
      <c r="R27" s="123">
        <v>0</v>
      </c>
      <c r="U27" s="399"/>
      <c r="AJ27" s="59"/>
      <c r="AK27" s="59"/>
      <c r="AL27" s="59"/>
      <c r="AM27" s="96"/>
      <c r="AN27" s="94"/>
      <c r="AO27" s="94"/>
      <c r="AP27" s="90"/>
      <c r="AQ27" s="98">
        <f t="shared" si="0"/>
        <v>0</v>
      </c>
      <c r="AR27" s="90"/>
      <c r="AS27" s="98">
        <f t="shared" si="1"/>
        <v>0</v>
      </c>
      <c r="AT27" s="98">
        <f t="shared" si="2"/>
        <v>0</v>
      </c>
      <c r="AU27" s="59"/>
      <c r="AV27" s="59"/>
      <c r="AW27" s="59"/>
      <c r="AX27" s="59"/>
      <c r="AY27" s="59"/>
      <c r="AZ27" s="59"/>
      <c r="BA27" s="59"/>
    </row>
    <row r="28" spans="2:53" x14ac:dyDescent="0.25">
      <c r="B28" s="87" t="s">
        <v>202</v>
      </c>
      <c r="C28" t="s">
        <v>66</v>
      </c>
      <c r="F28" s="122">
        <v>109315</v>
      </c>
      <c r="G28" s="19"/>
      <c r="H28" s="19">
        <v>102361</v>
      </c>
      <c r="I28" s="19"/>
      <c r="J28" s="123">
        <v>132585</v>
      </c>
      <c r="K28" s="19"/>
      <c r="L28" s="122">
        <v>0</v>
      </c>
      <c r="M28" s="19"/>
      <c r="N28" s="19">
        <v>0</v>
      </c>
      <c r="O28" s="19"/>
      <c r="P28" s="19">
        <f t="shared" si="4"/>
        <v>0</v>
      </c>
      <c r="Q28" s="239"/>
      <c r="R28" s="123">
        <v>0</v>
      </c>
      <c r="U28" s="399"/>
      <c r="AJ28" s="59"/>
      <c r="AK28" s="59"/>
      <c r="AL28" s="59"/>
      <c r="AM28" s="96"/>
      <c r="AN28" s="94"/>
      <c r="AO28" s="94"/>
      <c r="AP28" s="90"/>
      <c r="AQ28" s="98">
        <f t="shared" si="0"/>
        <v>0</v>
      </c>
      <c r="AR28" s="90"/>
      <c r="AS28" s="98">
        <f t="shared" si="1"/>
        <v>0</v>
      </c>
      <c r="AT28" s="98">
        <f t="shared" si="2"/>
        <v>0</v>
      </c>
      <c r="AU28" s="59"/>
      <c r="AV28" s="59"/>
      <c r="AW28" s="59"/>
      <c r="AX28" s="59"/>
      <c r="AY28" s="59"/>
      <c r="AZ28" s="59"/>
      <c r="BA28" s="59"/>
    </row>
    <row r="29" spans="2:53" x14ac:dyDescent="0.25">
      <c r="B29" s="87" t="s">
        <v>203</v>
      </c>
      <c r="C29" t="s">
        <v>67</v>
      </c>
      <c r="F29" s="131">
        <v>0</v>
      </c>
      <c r="G29" s="19"/>
      <c r="H29" s="132">
        <v>0</v>
      </c>
      <c r="I29" s="19"/>
      <c r="J29" s="133">
        <v>0</v>
      </c>
      <c r="K29" s="19"/>
      <c r="L29" s="131">
        <v>0</v>
      </c>
      <c r="M29" s="19"/>
      <c r="N29" s="132">
        <v>0</v>
      </c>
      <c r="O29" s="19"/>
      <c r="P29" s="132">
        <f t="shared" si="4"/>
        <v>0</v>
      </c>
      <c r="Q29" s="239"/>
      <c r="R29" s="133">
        <v>0</v>
      </c>
      <c r="U29" s="399"/>
      <c r="AJ29" s="59"/>
      <c r="AK29" s="59"/>
      <c r="AL29" s="59"/>
      <c r="AM29" s="96"/>
      <c r="AN29" s="94"/>
      <c r="AO29" s="94"/>
      <c r="AP29" s="90"/>
      <c r="AQ29" s="98">
        <f t="shared" si="0"/>
        <v>0</v>
      </c>
      <c r="AR29" s="90"/>
      <c r="AS29" s="98">
        <f t="shared" si="1"/>
        <v>0</v>
      </c>
      <c r="AT29" s="98">
        <f t="shared" si="2"/>
        <v>0</v>
      </c>
      <c r="AU29" s="59"/>
      <c r="AV29" s="59"/>
      <c r="AW29" s="59"/>
      <c r="AX29" s="59"/>
      <c r="AY29" s="59"/>
      <c r="AZ29" s="59"/>
      <c r="BA29" s="59"/>
    </row>
    <row r="30" spans="2:53" x14ac:dyDescent="0.25">
      <c r="B30" s="7" t="s">
        <v>50</v>
      </c>
      <c r="F30" s="122">
        <f>SUM(F20:F29)</f>
        <v>535950</v>
      </c>
      <c r="G30" s="19"/>
      <c r="H30" s="19">
        <f>SUM(H20:H29)</f>
        <v>553129</v>
      </c>
      <c r="I30" s="19"/>
      <c r="J30" s="123">
        <f>SUM(J21:J29)</f>
        <v>547603</v>
      </c>
      <c r="K30" s="19"/>
      <c r="L30" s="122">
        <f>SUM(L20:L29)</f>
        <v>543559</v>
      </c>
      <c r="M30" s="19"/>
      <c r="N30" s="19">
        <f>SUM(N20:N29)</f>
        <v>543559</v>
      </c>
      <c r="O30" s="19"/>
      <c r="P30" s="19">
        <f>SUM(P20:P29)</f>
        <v>45476</v>
      </c>
      <c r="Q30" s="239"/>
      <c r="R30" s="123">
        <f>SUM(R20:R29)</f>
        <v>589035</v>
      </c>
      <c r="U30" s="399"/>
      <c r="AJ30" s="59"/>
      <c r="AK30" s="59"/>
      <c r="AL30" s="59"/>
      <c r="AM30" s="96"/>
      <c r="AN30" s="94"/>
      <c r="AO30" s="94"/>
      <c r="AP30" s="90"/>
      <c r="AQ30" s="98">
        <f t="shared" si="0"/>
        <v>0</v>
      </c>
      <c r="AR30" s="90"/>
      <c r="AS30" s="98">
        <f t="shared" si="1"/>
        <v>0</v>
      </c>
      <c r="AT30" s="98">
        <f t="shared" si="2"/>
        <v>0</v>
      </c>
      <c r="AU30" s="59"/>
      <c r="AV30" s="59"/>
      <c r="AW30" s="59"/>
      <c r="AX30" s="59"/>
      <c r="AY30" s="59"/>
      <c r="AZ30" s="59"/>
      <c r="BA30" s="59"/>
    </row>
    <row r="31" spans="2:53" x14ac:dyDescent="0.25">
      <c r="F31" s="122"/>
      <c r="G31" s="19"/>
      <c r="H31" s="19"/>
      <c r="I31" s="19"/>
      <c r="J31" s="123"/>
      <c r="K31" s="19"/>
      <c r="L31" s="122"/>
      <c r="M31" s="19"/>
      <c r="N31" s="19"/>
      <c r="O31" s="19"/>
      <c r="P31" s="19"/>
      <c r="Q31" s="239"/>
      <c r="R31" s="123"/>
      <c r="U31" s="399"/>
      <c r="AJ31" s="59"/>
      <c r="AK31" s="59"/>
      <c r="AL31" s="59"/>
      <c r="AM31" s="96"/>
      <c r="AN31" s="94"/>
      <c r="AO31" s="94"/>
      <c r="AP31" s="90"/>
      <c r="AQ31" s="98">
        <f t="shared" si="0"/>
        <v>0</v>
      </c>
      <c r="AR31" s="90"/>
      <c r="AS31" s="98">
        <f t="shared" si="1"/>
        <v>0</v>
      </c>
      <c r="AT31" s="98">
        <f t="shared" si="2"/>
        <v>0</v>
      </c>
      <c r="AU31" s="59"/>
      <c r="AV31" s="59"/>
      <c r="AW31" s="59"/>
      <c r="AX31" s="59"/>
      <c r="AY31" s="59"/>
      <c r="AZ31" s="59"/>
      <c r="BA31" s="59"/>
    </row>
    <row r="32" spans="2:53" ht="14.1" customHeight="1" thickBot="1" x14ac:dyDescent="0.3">
      <c r="D32" s="53" t="s">
        <v>193</v>
      </c>
      <c r="F32" s="134">
        <f>+F16-F30</f>
        <v>3806</v>
      </c>
      <c r="G32" s="135"/>
      <c r="H32" s="135">
        <f>+H16-H30</f>
        <v>28678</v>
      </c>
      <c r="I32" s="135"/>
      <c r="J32" s="136">
        <f>+J16-J30</f>
        <v>78424</v>
      </c>
      <c r="K32" s="135"/>
      <c r="L32" s="134">
        <f>+L16-L30</f>
        <v>0</v>
      </c>
      <c r="M32" s="135"/>
      <c r="N32" s="135">
        <f>+N16-N30</f>
        <v>0</v>
      </c>
      <c r="O32" s="135"/>
      <c r="P32" s="135">
        <f>+P16-P30</f>
        <v>0</v>
      </c>
      <c r="Q32" s="243"/>
      <c r="R32" s="136">
        <f>+R16-R30</f>
        <v>0</v>
      </c>
      <c r="U32" s="399"/>
      <c r="AJ32" s="59"/>
      <c r="AK32" s="59"/>
      <c r="AL32" s="59"/>
      <c r="AM32" s="96"/>
      <c r="AN32" s="94"/>
      <c r="AO32" s="94"/>
      <c r="AP32" s="90"/>
      <c r="AQ32" s="98">
        <f t="shared" si="0"/>
        <v>0</v>
      </c>
      <c r="AR32" s="90"/>
      <c r="AS32" s="98">
        <f t="shared" si="1"/>
        <v>0</v>
      </c>
      <c r="AT32" s="98">
        <f t="shared" si="2"/>
        <v>0</v>
      </c>
      <c r="AU32" s="59"/>
      <c r="AV32" s="59"/>
      <c r="AW32" s="59"/>
      <c r="AX32" s="59"/>
      <c r="AY32" s="59"/>
      <c r="AZ32" s="59"/>
      <c r="BA32" s="59"/>
    </row>
    <row r="33" spans="2:53" ht="15.75" thickTop="1" x14ac:dyDescent="0.25">
      <c r="F33" s="122"/>
      <c r="G33" s="19"/>
      <c r="H33" s="19"/>
      <c r="I33" s="19"/>
      <c r="J33" s="123"/>
      <c r="K33" s="19"/>
      <c r="L33" s="122"/>
      <c r="M33" s="19"/>
      <c r="N33" s="19"/>
      <c r="O33" s="19"/>
      <c r="P33" s="19"/>
      <c r="Q33" s="239"/>
      <c r="R33" s="123"/>
      <c r="U33" s="399"/>
      <c r="AJ33" s="59"/>
      <c r="AK33" s="59"/>
      <c r="AL33" s="59"/>
      <c r="AM33" s="96"/>
      <c r="AN33" s="94"/>
      <c r="AO33" s="94"/>
      <c r="AP33" s="90"/>
      <c r="AQ33" s="98">
        <f t="shared" si="0"/>
        <v>0</v>
      </c>
      <c r="AR33" s="90"/>
      <c r="AS33" s="98">
        <f t="shared" si="1"/>
        <v>0</v>
      </c>
      <c r="AT33" s="98">
        <f t="shared" si="2"/>
        <v>0</v>
      </c>
      <c r="AU33" s="59"/>
      <c r="AV33" s="59"/>
      <c r="AW33" s="59"/>
      <c r="AX33" s="59"/>
      <c r="AY33" s="59"/>
      <c r="AZ33" s="59"/>
      <c r="BA33" s="59"/>
    </row>
    <row r="34" spans="2:53" x14ac:dyDescent="0.25">
      <c r="B34" s="7" t="s">
        <v>53</v>
      </c>
      <c r="F34" s="122"/>
      <c r="G34" s="19"/>
      <c r="H34" s="19"/>
      <c r="I34" s="19"/>
      <c r="J34" s="123"/>
      <c r="K34" s="19"/>
      <c r="L34" s="122"/>
      <c r="M34" s="19"/>
      <c r="N34" s="19"/>
      <c r="O34" s="19"/>
      <c r="P34" s="19"/>
      <c r="Q34" s="239"/>
      <c r="R34" s="123"/>
      <c r="U34" s="399"/>
      <c r="AJ34" s="59"/>
      <c r="AK34" s="59"/>
      <c r="AL34" s="59"/>
      <c r="AM34" s="96"/>
      <c r="AN34" s="94"/>
      <c r="AO34" s="94"/>
      <c r="AP34" s="90"/>
      <c r="AQ34" s="98">
        <f t="shared" si="0"/>
        <v>0</v>
      </c>
      <c r="AR34" s="90"/>
      <c r="AS34" s="98">
        <f t="shared" si="1"/>
        <v>0</v>
      </c>
      <c r="AT34" s="98">
        <f t="shared" si="2"/>
        <v>0</v>
      </c>
      <c r="AU34" s="59"/>
      <c r="AV34" s="59"/>
      <c r="AW34" s="59"/>
      <c r="AX34" s="59"/>
      <c r="AY34" s="59"/>
      <c r="AZ34" s="59"/>
      <c r="BA34" s="59"/>
    </row>
    <row r="35" spans="2:53" ht="15.75" thickBot="1" x14ac:dyDescent="0.3">
      <c r="C35" t="s">
        <v>211</v>
      </c>
      <c r="F35" s="131">
        <f>F9+F32</f>
        <v>407014</v>
      </c>
      <c r="G35" s="132"/>
      <c r="H35" s="132">
        <f>H9+H32</f>
        <v>435692</v>
      </c>
      <c r="I35" s="132"/>
      <c r="J35" s="133">
        <f>J9+J32</f>
        <v>514115</v>
      </c>
      <c r="K35" s="19"/>
      <c r="L35" s="131">
        <f>+L9+L16-L30</f>
        <v>435691</v>
      </c>
      <c r="M35" s="19"/>
      <c r="N35" s="132">
        <f>+N9+N16-N30</f>
        <v>514114</v>
      </c>
      <c r="O35" s="19"/>
      <c r="P35" s="132">
        <f>R35-L35</f>
        <v>78423</v>
      </c>
      <c r="Q35" s="239"/>
      <c r="R35" s="133">
        <f>+R9+R16-R30</f>
        <v>514114</v>
      </c>
      <c r="U35" s="399"/>
      <c r="X35" s="186" t="s">
        <v>301</v>
      </c>
      <c r="Y35" s="186"/>
      <c r="Z35" s="186"/>
      <c r="AA35" s="186"/>
      <c r="AJ35" s="59"/>
      <c r="AK35" s="59"/>
      <c r="AL35" s="59"/>
      <c r="AM35" s="96"/>
      <c r="AN35" s="94"/>
      <c r="AO35" s="94"/>
      <c r="AP35" s="90"/>
      <c r="AQ35" s="98">
        <f t="shared" si="0"/>
        <v>0</v>
      </c>
      <c r="AR35" s="90"/>
      <c r="AS35" s="98">
        <f t="shared" si="1"/>
        <v>0</v>
      </c>
      <c r="AT35" s="98">
        <f t="shared" si="2"/>
        <v>0</v>
      </c>
      <c r="AU35" s="59"/>
      <c r="AV35" s="59"/>
      <c r="AW35" s="59"/>
      <c r="AX35" s="59"/>
      <c r="AY35" s="59"/>
      <c r="AZ35" s="59"/>
      <c r="BA35" s="59"/>
    </row>
    <row r="36" spans="2:53" ht="15.75" thickBot="1" x14ac:dyDescent="0.3">
      <c r="B36" s="7" t="s">
        <v>212</v>
      </c>
      <c r="F36" s="144">
        <f>SUM(F34:F35)</f>
        <v>407014</v>
      </c>
      <c r="G36" s="145"/>
      <c r="H36" s="145">
        <f>SUM(H34:H35)</f>
        <v>435692</v>
      </c>
      <c r="I36" s="145"/>
      <c r="J36" s="139">
        <f>SUM(J34:J35)</f>
        <v>514115</v>
      </c>
      <c r="K36" s="19"/>
      <c r="L36" s="137">
        <f>SUM(L34:L35)</f>
        <v>435691</v>
      </c>
      <c r="M36" s="138"/>
      <c r="N36" s="138">
        <f>SUM(N34:N35)</f>
        <v>514114</v>
      </c>
      <c r="O36" s="138"/>
      <c r="P36" s="138">
        <f>SUM(P34:P35)</f>
        <v>78423</v>
      </c>
      <c r="Q36" s="239"/>
      <c r="R36" s="140">
        <f>SUM(R34:R35)</f>
        <v>514114</v>
      </c>
      <c r="U36" s="399"/>
      <c r="W36" s="112" t="s">
        <v>366</v>
      </c>
      <c r="X36" s="112" t="s">
        <v>292</v>
      </c>
      <c r="Y36" s="112" t="s">
        <v>277</v>
      </c>
      <c r="Z36" s="112" t="s">
        <v>356</v>
      </c>
      <c r="AA36" s="112" t="s">
        <v>127</v>
      </c>
      <c r="AB36" s="112" t="s">
        <v>276</v>
      </c>
      <c r="AC36" s="112" t="s">
        <v>278</v>
      </c>
      <c r="AD36" s="183" t="s">
        <v>364</v>
      </c>
      <c r="AE36" s="183"/>
      <c r="AJ36" s="59"/>
      <c r="AK36" s="59"/>
      <c r="AL36" s="59"/>
      <c r="AM36" s="96"/>
      <c r="AN36" s="94"/>
      <c r="AO36" s="94"/>
      <c r="AP36" s="90"/>
      <c r="AQ36" s="98">
        <f t="shared" si="0"/>
        <v>0</v>
      </c>
      <c r="AR36" s="90"/>
      <c r="AS36" s="98">
        <f t="shared" ref="AS36:AS38" si="5">AQ36+AR36</f>
        <v>0</v>
      </c>
      <c r="AT36" s="98">
        <f t="shared" ref="AT36:AT38" si="6">+AS36+AP36</f>
        <v>0</v>
      </c>
      <c r="AU36" s="59"/>
      <c r="AV36" s="59"/>
      <c r="AW36" s="59"/>
      <c r="AX36" s="59"/>
      <c r="AY36" s="59"/>
      <c r="AZ36" s="59"/>
      <c r="BA36" s="59"/>
    </row>
    <row r="37" spans="2:53" ht="15.75" thickBot="1" x14ac:dyDescent="0.3"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U37" s="399"/>
      <c r="AJ37" s="59"/>
      <c r="AK37" s="59"/>
      <c r="AL37" s="59"/>
      <c r="AM37" s="96"/>
      <c r="AN37" s="94"/>
      <c r="AO37" s="94"/>
      <c r="AP37" s="90"/>
      <c r="AQ37" s="98">
        <f t="shared" si="0"/>
        <v>0</v>
      </c>
      <c r="AR37" s="90"/>
      <c r="AS37" s="98">
        <f t="shared" ref="AS37" si="7">AQ37+AR37</f>
        <v>0</v>
      </c>
      <c r="AT37" s="98">
        <f t="shared" ref="AT37" si="8">+AS37+AP37</f>
        <v>0</v>
      </c>
      <c r="AU37" s="59"/>
      <c r="AV37" s="59"/>
      <c r="AW37" s="59"/>
      <c r="AX37" s="59"/>
      <c r="AY37" s="59"/>
      <c r="AZ37" s="59"/>
      <c r="BA37" s="59"/>
    </row>
    <row r="38" spans="2:53" ht="15.75" thickBot="1" x14ac:dyDescent="0.3">
      <c r="F38" s="105"/>
      <c r="G38" s="105"/>
      <c r="H38" s="105"/>
      <c r="I38" s="105"/>
      <c r="J38" s="53" t="s">
        <v>268</v>
      </c>
      <c r="K38" s="105"/>
      <c r="L38" s="143">
        <f>+L36+L30</f>
        <v>979250</v>
      </c>
      <c r="M38" s="88"/>
      <c r="N38" s="88"/>
      <c r="O38" s="88"/>
      <c r="P38" s="88"/>
      <c r="Q38" s="105"/>
      <c r="R38" s="143">
        <f>+R36+R30</f>
        <v>1103149</v>
      </c>
      <c r="U38" s="399"/>
      <c r="AL38" s="59"/>
      <c r="AM38" s="96"/>
      <c r="AN38" s="94"/>
      <c r="AO38" s="94"/>
      <c r="AP38" s="90"/>
      <c r="AQ38" s="98">
        <f t="shared" si="0"/>
        <v>0</v>
      </c>
      <c r="AR38" s="90"/>
      <c r="AS38" s="98">
        <f t="shared" si="5"/>
        <v>0</v>
      </c>
      <c r="AT38" s="98">
        <f t="shared" si="6"/>
        <v>0</v>
      </c>
    </row>
    <row r="39" spans="2:53" x14ac:dyDescent="0.25"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U39" s="399"/>
      <c r="AL39" s="59"/>
      <c r="AM39" s="96"/>
      <c r="AN39" s="94"/>
      <c r="AO39" s="94"/>
      <c r="AP39" s="90"/>
      <c r="AQ39" s="98">
        <f t="shared" si="0"/>
        <v>0</v>
      </c>
      <c r="AR39" s="90"/>
      <c r="AS39" s="98">
        <f t="shared" si="1"/>
        <v>0</v>
      </c>
      <c r="AT39" s="98">
        <f t="shared" si="2"/>
        <v>0</v>
      </c>
    </row>
  </sheetData>
  <mergeCells count="9">
    <mergeCell ref="W3:AC3"/>
    <mergeCell ref="AU3:BA3"/>
    <mergeCell ref="W4:AC4"/>
    <mergeCell ref="AU4:BA4"/>
    <mergeCell ref="A1:R1"/>
    <mergeCell ref="A2:R2"/>
    <mergeCell ref="A3:R3"/>
    <mergeCell ref="A4:R4"/>
    <mergeCell ref="U1:U39"/>
  </mergeCells>
  <pageMargins left="0.27" right="0.25" top="0.43" bottom="0.4" header="0.3" footer="0.17"/>
  <pageSetup scale="74" orientation="portrait" r:id="rId1"/>
  <headerFooter>
    <oddFooter>&amp;L&amp;D &amp;F&amp;C27&amp;R&amp;A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>
    <pageSetUpPr fitToPage="1"/>
  </sheetPr>
  <dimension ref="A1:AU48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8.4257812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8.5703125" hidden="1" customWidth="1"/>
    <col min="31" max="32" width="18" hidden="1" customWidth="1"/>
    <col min="33" max="33" width="17.42578125" hidden="1" customWidth="1"/>
    <col min="34" max="34" width="16.140625" hidden="1" customWidth="1"/>
    <col min="35" max="54" width="0" hidden="1" customWidth="1"/>
  </cols>
  <sheetData>
    <row r="1" spans="1:47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47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  <c r="W2" s="7" t="s">
        <v>377</v>
      </c>
    </row>
    <row r="3" spans="1:47" ht="16.5" thickBot="1" x14ac:dyDescent="0.3">
      <c r="A3" s="4" t="s">
        <v>259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198" t="s">
        <v>379</v>
      </c>
      <c r="X3" s="198"/>
      <c r="Y3" s="198"/>
      <c r="Z3" s="198"/>
      <c r="AA3" s="198"/>
      <c r="AB3" s="198"/>
      <c r="AC3" s="198"/>
    </row>
    <row r="4" spans="1:47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197"/>
      <c r="X4" s="197"/>
      <c r="Y4" s="197"/>
      <c r="Z4" s="197"/>
      <c r="AA4" s="197"/>
      <c r="AB4" s="197"/>
      <c r="AC4" s="197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  <c r="AU4" t="s">
        <v>267</v>
      </c>
    </row>
    <row r="5" spans="1:47" ht="19.350000000000001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0" t="str">
        <f>'Activity 23'!P5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</row>
    <row r="6" spans="1:47" ht="15.75" thickBot="1" x14ac:dyDescent="0.3">
      <c r="F6" s="223" t="str">
        <f>'GF Summary 10'!$F$7</f>
        <v>FY 22-23</v>
      </c>
      <c r="G6" s="224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'Activity 23'!P6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69" t="e">
        <f>+#REF!</f>
        <v>#REF!</v>
      </c>
      <c r="AF6" s="69" t="e">
        <f>+#REF!</f>
        <v>#REF!</v>
      </c>
      <c r="AG6" s="69" t="e">
        <f>+#REF!</f>
        <v>#REF!</v>
      </c>
      <c r="AH6" s="69" t="e">
        <f>+#REF!</f>
        <v>#REF!</v>
      </c>
    </row>
    <row r="7" spans="1:47" x14ac:dyDescent="0.25">
      <c r="B7" s="7" t="s">
        <v>29</v>
      </c>
      <c r="F7" s="371"/>
      <c r="G7" s="128"/>
      <c r="H7" s="217"/>
      <c r="I7" s="128"/>
      <c r="J7" s="373"/>
      <c r="K7" s="19"/>
      <c r="L7" s="371"/>
      <c r="M7" s="128"/>
      <c r="N7" s="374"/>
      <c r="O7" s="128"/>
      <c r="P7" s="128"/>
      <c r="Q7" s="239"/>
      <c r="R7" s="372"/>
      <c r="S7" s="5"/>
      <c r="U7" s="399"/>
      <c r="W7" s="59" t="s">
        <v>367</v>
      </c>
      <c r="X7" s="59" t="s">
        <v>276</v>
      </c>
      <c r="Y7" s="59" t="s">
        <v>277</v>
      </c>
      <c r="Z7" s="59" t="s">
        <v>278</v>
      </c>
      <c r="AA7" s="59" t="s">
        <v>279</v>
      </c>
      <c r="AB7" s="59" t="s">
        <v>276</v>
      </c>
      <c r="AC7" s="59" t="s">
        <v>278</v>
      </c>
      <c r="AD7" s="59" t="s">
        <v>380</v>
      </c>
      <c r="AE7" s="90"/>
      <c r="AF7" s="90"/>
      <c r="AG7" s="90"/>
      <c r="AH7" s="91"/>
    </row>
    <row r="8" spans="1:47" x14ac:dyDescent="0.25">
      <c r="C8" t="s">
        <v>211</v>
      </c>
      <c r="F8" s="122">
        <v>7627818</v>
      </c>
      <c r="G8" s="19"/>
      <c r="H8" s="19">
        <v>8688371</v>
      </c>
      <c r="I8" s="19"/>
      <c r="J8" s="123">
        <v>10028333</v>
      </c>
      <c r="K8" s="19"/>
      <c r="L8" s="122">
        <v>10306942</v>
      </c>
      <c r="M8" s="19"/>
      <c r="N8" s="19">
        <v>10708432</v>
      </c>
      <c r="O8" s="19"/>
      <c r="P8" s="19">
        <f>R8-L8</f>
        <v>401490</v>
      </c>
      <c r="Q8" s="239"/>
      <c r="R8" s="123">
        <v>10708432</v>
      </c>
      <c r="S8" s="5"/>
      <c r="U8" s="399"/>
      <c r="W8" s="59" t="s">
        <v>367</v>
      </c>
      <c r="X8" s="59" t="s">
        <v>276</v>
      </c>
      <c r="Y8" s="59" t="s">
        <v>277</v>
      </c>
      <c r="Z8" s="59" t="s">
        <v>278</v>
      </c>
      <c r="AA8" s="59" t="s">
        <v>381</v>
      </c>
      <c r="AB8" s="59" t="s">
        <v>276</v>
      </c>
      <c r="AC8" s="59" t="s">
        <v>278</v>
      </c>
      <c r="AD8" s="59" t="s">
        <v>57</v>
      </c>
      <c r="AE8" s="59"/>
      <c r="AF8" s="59"/>
      <c r="AG8" s="59"/>
      <c r="AH8" s="52"/>
    </row>
    <row r="9" spans="1:47" x14ac:dyDescent="0.25">
      <c r="B9" s="7" t="s">
        <v>31</v>
      </c>
      <c r="F9" s="124">
        <f>SUM(F8:F8)</f>
        <v>7627818</v>
      </c>
      <c r="G9" s="125"/>
      <c r="H9" s="126">
        <f>SUM(H8:H8)</f>
        <v>8688371</v>
      </c>
      <c r="I9" s="125"/>
      <c r="J9" s="127">
        <f>SUM(J8:J8)</f>
        <v>10028333</v>
      </c>
      <c r="K9" s="19"/>
      <c r="L9" s="124">
        <f>SUM(L8:L8)</f>
        <v>10306942</v>
      </c>
      <c r="M9" s="128"/>
      <c r="N9" s="126">
        <f>SUM(N8:N8)</f>
        <v>10708432</v>
      </c>
      <c r="O9" s="128"/>
      <c r="P9" s="126">
        <f>SUM(P8:P8)</f>
        <v>401490</v>
      </c>
      <c r="Q9" s="239"/>
      <c r="R9" s="127">
        <f>SUM(R8:R8)</f>
        <v>10708432</v>
      </c>
      <c r="S9" s="5"/>
      <c r="U9" s="399"/>
      <c r="W9" s="59" t="s">
        <v>367</v>
      </c>
      <c r="X9" s="59" t="s">
        <v>276</v>
      </c>
      <c r="Y9" s="59" t="s">
        <v>277</v>
      </c>
      <c r="Z9" s="59" t="s">
        <v>278</v>
      </c>
      <c r="AA9" s="59" t="s">
        <v>382</v>
      </c>
      <c r="AB9" s="59" t="s">
        <v>276</v>
      </c>
      <c r="AC9" s="59" t="s">
        <v>278</v>
      </c>
      <c r="AD9" s="59" t="s">
        <v>389</v>
      </c>
      <c r="AE9" s="59"/>
      <c r="AF9" s="59"/>
      <c r="AG9" s="59"/>
      <c r="AH9" s="52"/>
    </row>
    <row r="10" spans="1:47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399"/>
      <c r="W10" s="59" t="s">
        <v>367</v>
      </c>
      <c r="X10" s="59" t="s">
        <v>276</v>
      </c>
      <c r="Y10" s="59" t="s">
        <v>277</v>
      </c>
      <c r="Z10" s="59" t="s">
        <v>278</v>
      </c>
      <c r="AA10" s="59" t="s">
        <v>383</v>
      </c>
      <c r="AB10" s="59" t="s">
        <v>276</v>
      </c>
      <c r="AC10" s="59" t="s">
        <v>278</v>
      </c>
      <c r="AD10" s="59" t="s">
        <v>390</v>
      </c>
      <c r="AE10" s="59"/>
      <c r="AF10" s="59"/>
      <c r="AG10" s="59"/>
      <c r="AH10" s="52"/>
    </row>
    <row r="11" spans="1:47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399"/>
      <c r="W11" s="59" t="s">
        <v>367</v>
      </c>
      <c r="X11" s="59" t="s">
        <v>276</v>
      </c>
      <c r="Y11" s="59" t="s">
        <v>277</v>
      </c>
      <c r="Z11" s="59" t="s">
        <v>278</v>
      </c>
      <c r="AA11" s="59" t="s">
        <v>384</v>
      </c>
      <c r="AB11" s="59" t="s">
        <v>276</v>
      </c>
      <c r="AC11" s="59" t="s">
        <v>278</v>
      </c>
      <c r="AD11" s="59" t="s">
        <v>252</v>
      </c>
      <c r="AE11" s="59"/>
      <c r="AF11" s="59"/>
      <c r="AG11" s="59"/>
      <c r="AH11" s="52"/>
    </row>
    <row r="12" spans="1:47" x14ac:dyDescent="0.25">
      <c r="B12" s="7">
        <v>1110</v>
      </c>
      <c r="C12" t="s">
        <v>158</v>
      </c>
      <c r="F12" s="122">
        <v>10009047</v>
      </c>
      <c r="G12" s="19"/>
      <c r="H12" s="19">
        <v>10122555</v>
      </c>
      <c r="I12" s="19"/>
      <c r="J12" s="123">
        <v>9443081</v>
      </c>
      <c r="K12" s="19"/>
      <c r="L12" s="122">
        <v>9717464</v>
      </c>
      <c r="M12" s="19"/>
      <c r="N12" s="19">
        <v>9717464</v>
      </c>
      <c r="O12" s="19"/>
      <c r="P12" s="19">
        <f t="shared" ref="P12:P17" si="0">R12-L12</f>
        <v>217411</v>
      </c>
      <c r="Q12" s="239"/>
      <c r="R12" s="123">
        <v>9934875</v>
      </c>
      <c r="U12" s="399"/>
      <c r="W12" s="59" t="s">
        <v>367</v>
      </c>
      <c r="X12" s="59" t="s">
        <v>276</v>
      </c>
      <c r="Y12" s="59" t="s">
        <v>277</v>
      </c>
      <c r="Z12" s="59" t="s">
        <v>278</v>
      </c>
      <c r="AA12" s="59" t="s">
        <v>385</v>
      </c>
      <c r="AB12" s="59" t="s">
        <v>276</v>
      </c>
      <c r="AC12" s="59" t="s">
        <v>278</v>
      </c>
      <c r="AD12" s="59" t="s">
        <v>68</v>
      </c>
      <c r="AE12" s="59"/>
      <c r="AF12" s="59"/>
      <c r="AG12" s="59"/>
      <c r="AH12" s="52"/>
    </row>
    <row r="13" spans="1:47" x14ac:dyDescent="0.25">
      <c r="B13" s="7">
        <v>1120</v>
      </c>
      <c r="C13" t="s">
        <v>250</v>
      </c>
      <c r="F13" s="122">
        <v>0</v>
      </c>
      <c r="G13" s="19"/>
      <c r="H13" s="19">
        <v>0</v>
      </c>
      <c r="I13" s="19"/>
      <c r="J13" s="123">
        <v>0</v>
      </c>
      <c r="K13" s="19"/>
      <c r="L13" s="122">
        <v>0</v>
      </c>
      <c r="M13" s="19"/>
      <c r="N13" s="19">
        <f t="shared" ref="N13:N17" si="1">P13-J13</f>
        <v>0</v>
      </c>
      <c r="O13" s="19"/>
      <c r="P13" s="19">
        <f t="shared" si="0"/>
        <v>0</v>
      </c>
      <c r="Q13" s="239"/>
      <c r="R13" s="123">
        <v>0</v>
      </c>
      <c r="U13" s="399"/>
      <c r="W13" s="59" t="s">
        <v>367</v>
      </c>
      <c r="X13" s="59" t="s">
        <v>276</v>
      </c>
      <c r="Y13" s="59" t="s">
        <v>277</v>
      </c>
      <c r="Z13" s="59" t="s">
        <v>278</v>
      </c>
      <c r="AA13" s="59" t="s">
        <v>386</v>
      </c>
      <c r="AB13" s="59" t="s">
        <v>276</v>
      </c>
      <c r="AC13" s="59" t="s">
        <v>278</v>
      </c>
      <c r="AD13" s="59" t="s">
        <v>391</v>
      </c>
      <c r="AE13" s="59"/>
      <c r="AF13" s="59"/>
      <c r="AG13" s="59"/>
      <c r="AH13" s="52"/>
    </row>
    <row r="14" spans="1:47" x14ac:dyDescent="0.25">
      <c r="B14" s="7">
        <v>1140</v>
      </c>
      <c r="C14" t="s">
        <v>58</v>
      </c>
      <c r="F14" s="122">
        <v>8427</v>
      </c>
      <c r="G14" s="19"/>
      <c r="H14" s="19">
        <v>8433</v>
      </c>
      <c r="I14" s="19"/>
      <c r="J14" s="123">
        <v>0</v>
      </c>
      <c r="K14" s="19"/>
      <c r="L14" s="122">
        <v>0</v>
      </c>
      <c r="M14" s="19"/>
      <c r="N14" s="19">
        <v>0</v>
      </c>
      <c r="O14" s="19"/>
      <c r="P14" s="19">
        <f t="shared" si="0"/>
        <v>0</v>
      </c>
      <c r="Q14" s="239"/>
      <c r="R14" s="123">
        <v>0</v>
      </c>
      <c r="U14" s="399"/>
      <c r="W14" s="59" t="s">
        <v>367</v>
      </c>
      <c r="X14" s="59" t="s">
        <v>276</v>
      </c>
      <c r="Y14" s="59" t="s">
        <v>277</v>
      </c>
      <c r="Z14" s="59" t="s">
        <v>278</v>
      </c>
      <c r="AA14" s="59" t="s">
        <v>387</v>
      </c>
      <c r="AB14" s="59" t="s">
        <v>276</v>
      </c>
      <c r="AC14" s="59" t="s">
        <v>278</v>
      </c>
      <c r="AD14" s="59" t="s">
        <v>392</v>
      </c>
      <c r="AE14" s="59"/>
      <c r="AF14" s="59"/>
      <c r="AG14" s="59"/>
      <c r="AH14" s="52"/>
    </row>
    <row r="15" spans="1:47" x14ac:dyDescent="0.25">
      <c r="B15" s="7">
        <v>1141</v>
      </c>
      <c r="C15" t="s">
        <v>251</v>
      </c>
      <c r="F15" s="122">
        <v>0</v>
      </c>
      <c r="G15" s="19"/>
      <c r="H15" s="19">
        <v>0</v>
      </c>
      <c r="I15" s="19"/>
      <c r="J15" s="123">
        <v>0</v>
      </c>
      <c r="K15" s="19"/>
      <c r="L15" s="122">
        <v>0</v>
      </c>
      <c r="M15" s="19"/>
      <c r="N15" s="19">
        <f t="shared" si="1"/>
        <v>0</v>
      </c>
      <c r="O15" s="19"/>
      <c r="P15" s="19">
        <f t="shared" si="0"/>
        <v>0</v>
      </c>
      <c r="Q15" s="239"/>
      <c r="R15" s="123">
        <v>0</v>
      </c>
      <c r="U15" s="399"/>
      <c r="W15" s="59" t="s">
        <v>367</v>
      </c>
      <c r="X15" s="59" t="s">
        <v>276</v>
      </c>
      <c r="Y15" s="59" t="s">
        <v>277</v>
      </c>
      <c r="Z15" s="59" t="s">
        <v>278</v>
      </c>
      <c r="AA15" s="59" t="s">
        <v>388</v>
      </c>
      <c r="AB15" s="59" t="s">
        <v>276</v>
      </c>
      <c r="AC15" s="59" t="s">
        <v>278</v>
      </c>
      <c r="AD15" s="59" t="s">
        <v>393</v>
      </c>
      <c r="AE15" s="59"/>
      <c r="AF15" s="59"/>
      <c r="AG15" s="59"/>
      <c r="AH15" s="52"/>
    </row>
    <row r="16" spans="1:47" x14ac:dyDescent="0.25">
      <c r="B16" s="7">
        <v>1500</v>
      </c>
      <c r="C16" t="s">
        <v>252</v>
      </c>
      <c r="F16" s="122">
        <v>198910</v>
      </c>
      <c r="G16" s="19"/>
      <c r="H16" s="19">
        <v>352374</v>
      </c>
      <c r="I16" s="19"/>
      <c r="J16" s="123">
        <v>382677</v>
      </c>
      <c r="K16" s="19"/>
      <c r="L16" s="122">
        <v>0</v>
      </c>
      <c r="M16" s="19"/>
      <c r="N16" s="19">
        <v>0</v>
      </c>
      <c r="O16" s="19"/>
      <c r="P16" s="19">
        <f t="shared" si="0"/>
        <v>0</v>
      </c>
      <c r="Q16" s="239"/>
      <c r="R16" s="123">
        <v>0</v>
      </c>
      <c r="U16" s="399"/>
      <c r="W16" s="59"/>
      <c r="X16" s="59"/>
      <c r="Y16" s="59"/>
      <c r="Z16" s="59"/>
      <c r="AA16" s="59"/>
      <c r="AB16" s="59"/>
      <c r="AC16" s="59"/>
      <c r="AE16" s="59"/>
      <c r="AF16" s="59"/>
      <c r="AG16" s="59"/>
      <c r="AH16" s="52"/>
    </row>
    <row r="17" spans="2:34" x14ac:dyDescent="0.25">
      <c r="B17" s="7">
        <v>1900</v>
      </c>
      <c r="C17" t="s">
        <v>253</v>
      </c>
      <c r="F17" s="131">
        <v>0</v>
      </c>
      <c r="G17" s="19"/>
      <c r="H17" s="132">
        <v>0</v>
      </c>
      <c r="I17" s="19"/>
      <c r="J17" s="133">
        <v>0</v>
      </c>
      <c r="K17" s="19"/>
      <c r="L17" s="131">
        <v>0</v>
      </c>
      <c r="M17" s="19"/>
      <c r="N17" s="132">
        <f t="shared" si="1"/>
        <v>0</v>
      </c>
      <c r="O17" s="19"/>
      <c r="P17" s="132">
        <f t="shared" si="0"/>
        <v>0</v>
      </c>
      <c r="Q17" s="239"/>
      <c r="R17" s="133">
        <v>0</v>
      </c>
      <c r="U17" s="39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2"/>
    </row>
    <row r="18" spans="2:34" x14ac:dyDescent="0.25">
      <c r="B18" s="7" t="s">
        <v>37</v>
      </c>
      <c r="F18" s="122">
        <f>SUM(F11:F17)</f>
        <v>10216384</v>
      </c>
      <c r="G18" s="19"/>
      <c r="H18" s="19">
        <f>SUM(H11:H17)</f>
        <v>10483362</v>
      </c>
      <c r="I18" s="19"/>
      <c r="J18" s="123">
        <f>SUM(J12:J17)</f>
        <v>9825758</v>
      </c>
      <c r="K18" s="19"/>
      <c r="L18" s="122">
        <f>SUM(L11:L17)</f>
        <v>9717464</v>
      </c>
      <c r="M18" s="19"/>
      <c r="N18" s="19">
        <f>SUM(N11:N17)</f>
        <v>9717464</v>
      </c>
      <c r="O18" s="19"/>
      <c r="P18" s="19">
        <f>SUM(P11:P17)</f>
        <v>217411</v>
      </c>
      <c r="Q18" s="239"/>
      <c r="R18" s="123">
        <f>SUM(R11:R17)</f>
        <v>9934875</v>
      </c>
      <c r="U18" s="39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2"/>
    </row>
    <row r="19" spans="2:34" ht="16.5" thickBot="1" x14ac:dyDescent="0.3">
      <c r="F19" s="122"/>
      <c r="G19" s="19"/>
      <c r="H19" s="19"/>
      <c r="I19" s="19"/>
      <c r="J19" s="123"/>
      <c r="K19" s="19"/>
      <c r="L19" s="122"/>
      <c r="M19" s="19"/>
      <c r="N19" s="19"/>
      <c r="O19" s="19"/>
      <c r="P19" s="19"/>
      <c r="Q19" s="239"/>
      <c r="R19" s="123"/>
      <c r="U19" s="399"/>
      <c r="W19" s="400" t="s">
        <v>378</v>
      </c>
      <c r="X19" s="400"/>
      <c r="Y19" s="400"/>
      <c r="Z19" s="400"/>
      <c r="AA19" s="400"/>
      <c r="AB19" s="400"/>
      <c r="AC19" s="400"/>
      <c r="AD19" s="59"/>
      <c r="AE19" s="59"/>
      <c r="AF19" s="59"/>
      <c r="AG19" s="59"/>
      <c r="AH19" s="52"/>
    </row>
    <row r="20" spans="2:34" ht="16.5" thickBot="1" x14ac:dyDescent="0.3">
      <c r="B20" s="7" t="s">
        <v>38</v>
      </c>
      <c r="F20" s="131">
        <f>F9+F18</f>
        <v>17844202</v>
      </c>
      <c r="G20" s="19"/>
      <c r="H20" s="132">
        <f>H9+H18</f>
        <v>19171733</v>
      </c>
      <c r="I20" s="19"/>
      <c r="J20" s="133">
        <f>J9+J18</f>
        <v>19854091</v>
      </c>
      <c r="K20" s="19"/>
      <c r="L20" s="131">
        <f>L9+L18</f>
        <v>20024406</v>
      </c>
      <c r="M20" s="19"/>
      <c r="N20" s="132">
        <f>N9+N18</f>
        <v>20425896</v>
      </c>
      <c r="O20" s="19"/>
      <c r="P20" s="132">
        <f>P9+P18</f>
        <v>618901</v>
      </c>
      <c r="Q20" s="239"/>
      <c r="R20" s="133">
        <f>R9+R18</f>
        <v>20643307</v>
      </c>
      <c r="U20" s="399"/>
      <c r="W20" s="401" t="s">
        <v>273</v>
      </c>
      <c r="X20" s="401"/>
      <c r="Y20" s="401"/>
      <c r="Z20" s="401"/>
      <c r="AA20" s="401"/>
      <c r="AB20" s="401"/>
      <c r="AC20" s="401"/>
      <c r="AE20" s="70" t="e">
        <f>+#REF!</f>
        <v>#REF!</v>
      </c>
      <c r="AF20" s="70" t="e">
        <f>+#REF!</f>
        <v>#REF!</v>
      </c>
      <c r="AG20" s="70" t="e">
        <f>+#REF!</f>
        <v>#REF!</v>
      </c>
      <c r="AH20" s="70" t="e">
        <f>+#REF!</f>
        <v>#REF!</v>
      </c>
    </row>
    <row r="21" spans="2:34" ht="15.75" thickBot="1" x14ac:dyDescent="0.3">
      <c r="F21" s="122"/>
      <c r="G21" s="19"/>
      <c r="H21" s="126"/>
      <c r="I21" s="19"/>
      <c r="J21" s="127"/>
      <c r="K21" s="19"/>
      <c r="L21" s="122"/>
      <c r="M21" s="19"/>
      <c r="N21" s="126"/>
      <c r="O21" s="19"/>
      <c r="P21" s="126"/>
      <c r="Q21" s="239"/>
      <c r="R21" s="127"/>
      <c r="U21" s="399"/>
      <c r="V21" s="187" t="s">
        <v>233</v>
      </c>
      <c r="W21" s="188" t="s">
        <v>231</v>
      </c>
      <c r="X21" s="188" t="s">
        <v>231</v>
      </c>
      <c r="Y21" s="188" t="s">
        <v>231</v>
      </c>
      <c r="Z21" s="188" t="s">
        <v>231</v>
      </c>
      <c r="AA21" s="188" t="s">
        <v>231</v>
      </c>
      <c r="AB21" s="188" t="s">
        <v>231</v>
      </c>
      <c r="AC21" s="188" t="s">
        <v>231</v>
      </c>
      <c r="AD21" s="187" t="s">
        <v>233</v>
      </c>
      <c r="AE21" s="188" t="s">
        <v>232</v>
      </c>
      <c r="AF21" s="188" t="s">
        <v>232</v>
      </c>
      <c r="AG21" s="188" t="s">
        <v>232</v>
      </c>
      <c r="AH21" s="188" t="s">
        <v>232</v>
      </c>
    </row>
    <row r="22" spans="2:34" ht="15.75" thickBot="1" x14ac:dyDescent="0.3">
      <c r="B22" s="7" t="s">
        <v>39</v>
      </c>
      <c r="F22" s="122"/>
      <c r="G22" s="19"/>
      <c r="H22" s="19"/>
      <c r="I22" s="19"/>
      <c r="J22" s="123"/>
      <c r="K22" s="19"/>
      <c r="L22" s="122"/>
      <c r="M22" s="19"/>
      <c r="N22" s="19"/>
      <c r="O22" s="19"/>
      <c r="P22" s="19"/>
      <c r="Q22" s="239"/>
      <c r="R22" s="123"/>
      <c r="U22" s="399"/>
      <c r="W22" s="66" t="s">
        <v>144</v>
      </c>
      <c r="X22" s="69" t="s">
        <v>139</v>
      </c>
      <c r="Y22" s="67" t="s">
        <v>145</v>
      </c>
      <c r="Z22" s="69" t="s">
        <v>174</v>
      </c>
      <c r="AA22" s="67" t="s">
        <v>175</v>
      </c>
      <c r="AB22" s="69" t="s">
        <v>148</v>
      </c>
      <c r="AC22" s="68" t="s">
        <v>149</v>
      </c>
      <c r="AD22" s="68" t="s">
        <v>229</v>
      </c>
      <c r="AE22" s="69" t="e">
        <f>+#REF!</f>
        <v>#REF!</v>
      </c>
      <c r="AF22" s="69" t="e">
        <f>+#REF!</f>
        <v>#REF!</v>
      </c>
      <c r="AG22" s="69" t="e">
        <f>+#REF!</f>
        <v>#REF!</v>
      </c>
      <c r="AH22" s="69" t="e">
        <f>+#REF!</f>
        <v>#REF!</v>
      </c>
    </row>
    <row r="23" spans="2:34" x14ac:dyDescent="0.25">
      <c r="B23" s="87" t="s">
        <v>197</v>
      </c>
      <c r="C23" t="s">
        <v>62</v>
      </c>
      <c r="F23" s="122">
        <v>10831</v>
      </c>
      <c r="G23" s="19"/>
      <c r="H23" s="19">
        <v>17524</v>
      </c>
      <c r="I23" s="19"/>
      <c r="J23" s="123">
        <v>21033</v>
      </c>
      <c r="K23" s="19"/>
      <c r="L23" s="122">
        <v>19247</v>
      </c>
      <c r="M23" s="19"/>
      <c r="N23" s="19">
        <v>19247</v>
      </c>
      <c r="O23" s="19"/>
      <c r="P23" s="19">
        <f t="shared" ref="P23:P31" si="2">R23-L23</f>
        <v>2785</v>
      </c>
      <c r="Q23" s="239"/>
      <c r="R23" s="123">
        <v>22032</v>
      </c>
      <c r="U23" s="399"/>
      <c r="W23" s="59" t="s">
        <v>367</v>
      </c>
      <c r="X23" s="59" t="s">
        <v>292</v>
      </c>
      <c r="Y23" s="59" t="s">
        <v>277</v>
      </c>
      <c r="Z23" s="59" t="s">
        <v>394</v>
      </c>
      <c r="AA23" s="59" t="s">
        <v>395</v>
      </c>
      <c r="AB23" s="59" t="s">
        <v>276</v>
      </c>
      <c r="AC23" s="59" t="s">
        <v>278</v>
      </c>
      <c r="AD23" s="59" t="s">
        <v>396</v>
      </c>
      <c r="AE23" s="59"/>
      <c r="AF23" s="59"/>
      <c r="AG23" s="59"/>
      <c r="AH23" s="52"/>
    </row>
    <row r="24" spans="2:34" x14ac:dyDescent="0.25">
      <c r="B24" s="87" t="s">
        <v>198</v>
      </c>
      <c r="C24" t="s">
        <v>63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19">
        <f t="shared" ref="N24:N30" si="3">P24-J24</f>
        <v>0</v>
      </c>
      <c r="O24" s="19"/>
      <c r="P24" s="19">
        <f t="shared" si="2"/>
        <v>0</v>
      </c>
      <c r="Q24" s="239"/>
      <c r="R24" s="123">
        <v>0</v>
      </c>
      <c r="U24" s="399"/>
      <c r="W24" s="59" t="s">
        <v>367</v>
      </c>
      <c r="X24" s="59" t="s">
        <v>292</v>
      </c>
      <c r="Y24" s="59" t="s">
        <v>277</v>
      </c>
      <c r="Z24" s="59" t="s">
        <v>394</v>
      </c>
      <c r="AA24" s="59" t="s">
        <v>397</v>
      </c>
      <c r="AB24" s="59" t="s">
        <v>276</v>
      </c>
      <c r="AC24" s="59" t="s">
        <v>278</v>
      </c>
      <c r="AD24" s="59" t="s">
        <v>398</v>
      </c>
    </row>
    <row r="25" spans="2:34" x14ac:dyDescent="0.25">
      <c r="B25" s="87" t="s">
        <v>199</v>
      </c>
      <c r="C25" t="s">
        <v>49</v>
      </c>
      <c r="F25" s="122">
        <v>0</v>
      </c>
      <c r="G25" s="19"/>
      <c r="H25" s="19">
        <v>0</v>
      </c>
      <c r="I25" s="19"/>
      <c r="J25" s="123">
        <v>0</v>
      </c>
      <c r="K25" s="19"/>
      <c r="L25" s="122">
        <v>0</v>
      </c>
      <c r="M25" s="19"/>
      <c r="N25" s="19">
        <f t="shared" si="3"/>
        <v>0</v>
      </c>
      <c r="O25" s="19"/>
      <c r="P25" s="19">
        <f t="shared" si="2"/>
        <v>0</v>
      </c>
      <c r="Q25" s="239"/>
      <c r="R25" s="123">
        <v>0</v>
      </c>
      <c r="U25" s="399"/>
      <c r="W25" s="59" t="s">
        <v>367</v>
      </c>
      <c r="X25" s="59" t="s">
        <v>292</v>
      </c>
      <c r="Y25" s="59" t="s">
        <v>277</v>
      </c>
      <c r="Z25" s="59" t="s">
        <v>394</v>
      </c>
      <c r="AA25" s="59" t="s">
        <v>399</v>
      </c>
      <c r="AB25" s="59" t="s">
        <v>276</v>
      </c>
      <c r="AC25" s="59" t="s">
        <v>278</v>
      </c>
      <c r="AD25" s="59" t="s">
        <v>400</v>
      </c>
    </row>
    <row r="26" spans="2:34" x14ac:dyDescent="0.25">
      <c r="B26" s="87" t="s">
        <v>200</v>
      </c>
      <c r="C26" t="s">
        <v>64</v>
      </c>
      <c r="F26" s="122">
        <v>0</v>
      </c>
      <c r="G26" s="19"/>
      <c r="H26" s="19">
        <v>0</v>
      </c>
      <c r="I26" s="19"/>
      <c r="J26" s="123">
        <v>0</v>
      </c>
      <c r="K26" s="19"/>
      <c r="L26" s="122">
        <v>0</v>
      </c>
      <c r="M26" s="19"/>
      <c r="N26" s="19">
        <f t="shared" si="3"/>
        <v>0</v>
      </c>
      <c r="O26" s="19"/>
      <c r="P26" s="19">
        <f t="shared" si="2"/>
        <v>0</v>
      </c>
      <c r="Q26" s="239"/>
      <c r="R26" s="123">
        <v>0</v>
      </c>
      <c r="U26" s="399"/>
      <c r="W26" s="59" t="s">
        <v>367</v>
      </c>
      <c r="X26" s="59" t="s">
        <v>292</v>
      </c>
      <c r="Y26" s="59" t="s">
        <v>277</v>
      </c>
      <c r="Z26" s="59" t="s">
        <v>394</v>
      </c>
      <c r="AA26" s="59" t="s">
        <v>404</v>
      </c>
      <c r="AB26" s="59" t="s">
        <v>276</v>
      </c>
      <c r="AC26" s="59" t="s">
        <v>278</v>
      </c>
      <c r="AD26" s="59" t="s">
        <v>401</v>
      </c>
    </row>
    <row r="27" spans="2:34" x14ac:dyDescent="0.25">
      <c r="B27" s="87" t="s">
        <v>201</v>
      </c>
      <c r="C27" t="s">
        <v>65</v>
      </c>
      <c r="F27" s="122">
        <v>0</v>
      </c>
      <c r="G27" s="19"/>
      <c r="H27" s="19">
        <v>0</v>
      </c>
      <c r="I27" s="19"/>
      <c r="J27" s="123">
        <v>0</v>
      </c>
      <c r="K27" s="19"/>
      <c r="L27" s="122">
        <v>0</v>
      </c>
      <c r="M27" s="19"/>
      <c r="N27" s="19">
        <f t="shared" si="3"/>
        <v>0</v>
      </c>
      <c r="O27" s="19"/>
      <c r="P27" s="19">
        <f t="shared" si="2"/>
        <v>0</v>
      </c>
      <c r="Q27" s="239"/>
      <c r="R27" s="123">
        <v>0</v>
      </c>
      <c r="U27" s="399"/>
      <c r="W27" s="59" t="s">
        <v>367</v>
      </c>
      <c r="X27" s="59" t="s">
        <v>292</v>
      </c>
      <c r="Y27" s="59" t="s">
        <v>277</v>
      </c>
      <c r="Z27" s="59" t="s">
        <v>394</v>
      </c>
      <c r="AA27" s="59" t="s">
        <v>405</v>
      </c>
      <c r="AB27" s="59" t="s">
        <v>276</v>
      </c>
      <c r="AC27" s="59" t="s">
        <v>278</v>
      </c>
      <c r="AD27" s="59" t="s">
        <v>402</v>
      </c>
    </row>
    <row r="28" spans="2:34" x14ac:dyDescent="0.25">
      <c r="B28" s="87" t="s">
        <v>202</v>
      </c>
      <c r="C28" t="s">
        <v>66</v>
      </c>
      <c r="F28" s="122">
        <v>0</v>
      </c>
      <c r="G28" s="19"/>
      <c r="H28" s="19">
        <v>0</v>
      </c>
      <c r="I28" s="19"/>
      <c r="J28" s="123">
        <v>0</v>
      </c>
      <c r="K28" s="19"/>
      <c r="L28" s="122">
        <v>0</v>
      </c>
      <c r="M28" s="19"/>
      <c r="N28" s="19">
        <f t="shared" si="3"/>
        <v>0</v>
      </c>
      <c r="O28" s="19"/>
      <c r="P28" s="19">
        <f t="shared" si="2"/>
        <v>0</v>
      </c>
      <c r="Q28" s="239"/>
      <c r="R28" s="123">
        <v>0</v>
      </c>
      <c r="U28" s="399"/>
      <c r="W28" s="59" t="s">
        <v>367</v>
      </c>
      <c r="X28" s="59" t="s">
        <v>292</v>
      </c>
      <c r="Y28" s="59" t="s">
        <v>277</v>
      </c>
      <c r="Z28" s="59" t="s">
        <v>394</v>
      </c>
      <c r="AA28" s="59" t="s">
        <v>406</v>
      </c>
      <c r="AB28" s="59" t="s">
        <v>276</v>
      </c>
      <c r="AC28" s="59" t="s">
        <v>278</v>
      </c>
      <c r="AD28" s="59" t="s">
        <v>403</v>
      </c>
    </row>
    <row r="29" spans="2:34" x14ac:dyDescent="0.25">
      <c r="B29" s="87" t="s">
        <v>243</v>
      </c>
      <c r="C29" t="s">
        <v>244</v>
      </c>
      <c r="F29" s="122">
        <v>6120000</v>
      </c>
      <c r="G29" s="19"/>
      <c r="H29" s="19">
        <v>5980875</v>
      </c>
      <c r="I29" s="19"/>
      <c r="J29" s="123">
        <v>5819625</v>
      </c>
      <c r="K29" s="19"/>
      <c r="L29" s="122">
        <v>0</v>
      </c>
      <c r="M29" s="19"/>
      <c r="N29" s="19">
        <v>0</v>
      </c>
      <c r="O29" s="19"/>
      <c r="P29" s="19">
        <f t="shared" si="2"/>
        <v>0</v>
      </c>
      <c r="Q29" s="239"/>
      <c r="R29" s="123">
        <v>0</v>
      </c>
      <c r="U29" s="399"/>
      <c r="W29" s="59"/>
      <c r="X29" s="59"/>
      <c r="Y29" s="59"/>
      <c r="Z29" s="59"/>
      <c r="AA29" s="59"/>
      <c r="AB29" s="59"/>
      <c r="AC29" s="59"/>
    </row>
    <row r="30" spans="2:34" x14ac:dyDescent="0.25">
      <c r="B30" s="87" t="s">
        <v>203</v>
      </c>
      <c r="C30" t="s">
        <v>67</v>
      </c>
      <c r="F30" s="122">
        <v>0</v>
      </c>
      <c r="G30" s="19"/>
      <c r="H30" s="19">
        <v>0</v>
      </c>
      <c r="I30" s="19"/>
      <c r="J30" s="123">
        <v>0</v>
      </c>
      <c r="K30" s="19"/>
      <c r="L30" s="122">
        <v>0</v>
      </c>
      <c r="M30" s="19"/>
      <c r="N30" s="19">
        <f t="shared" si="3"/>
        <v>0</v>
      </c>
      <c r="O30" s="19"/>
      <c r="P30" s="19">
        <f t="shared" si="2"/>
        <v>0</v>
      </c>
      <c r="Q30" s="239"/>
      <c r="R30" s="123">
        <v>0</v>
      </c>
      <c r="U30" s="399"/>
      <c r="W30" s="59"/>
      <c r="X30" s="59"/>
      <c r="Y30" s="59"/>
      <c r="Z30" s="59"/>
      <c r="AA30" s="59"/>
      <c r="AB30" s="59"/>
      <c r="AC30" s="59"/>
    </row>
    <row r="31" spans="2:34" x14ac:dyDescent="0.25">
      <c r="B31" s="87" t="s">
        <v>245</v>
      </c>
      <c r="C31" t="s">
        <v>412</v>
      </c>
      <c r="F31" s="131">
        <v>3025000</v>
      </c>
      <c r="G31" s="19"/>
      <c r="H31" s="132">
        <v>3145000</v>
      </c>
      <c r="I31" s="19"/>
      <c r="J31" s="133">
        <v>3305000</v>
      </c>
      <c r="K31" s="19"/>
      <c r="L31" s="131">
        <v>9698217</v>
      </c>
      <c r="M31" s="19"/>
      <c r="N31" s="132">
        <v>9698217</v>
      </c>
      <c r="O31" s="19"/>
      <c r="P31" s="132">
        <f t="shared" si="2"/>
        <v>214626</v>
      </c>
      <c r="Q31" s="239"/>
      <c r="R31" s="133">
        <v>9912843</v>
      </c>
      <c r="U31" s="399"/>
      <c r="W31" s="59"/>
      <c r="X31" s="59"/>
      <c r="Y31" s="59"/>
      <c r="Z31" s="59"/>
      <c r="AA31" s="59"/>
      <c r="AB31" s="59"/>
      <c r="AC31" s="59"/>
    </row>
    <row r="32" spans="2:34" x14ac:dyDescent="0.25">
      <c r="B32" s="7" t="s">
        <v>50</v>
      </c>
      <c r="F32" s="122">
        <f>SUM(F22:F31)</f>
        <v>9155831</v>
      </c>
      <c r="G32" s="19"/>
      <c r="H32" s="19">
        <f>SUM(H22:H31)</f>
        <v>9143399</v>
      </c>
      <c r="I32" s="19"/>
      <c r="J32" s="123">
        <f>SUM(J23:J31)</f>
        <v>9145658</v>
      </c>
      <c r="K32" s="19"/>
      <c r="L32" s="122">
        <f>SUM(L22:L31)</f>
        <v>9717464</v>
      </c>
      <c r="M32" s="19"/>
      <c r="N32" s="19">
        <f>SUM(N22:N31)</f>
        <v>9717464</v>
      </c>
      <c r="O32" s="19"/>
      <c r="P32" s="19">
        <f>SUM(P22:P31)</f>
        <v>217411</v>
      </c>
      <c r="Q32" s="239"/>
      <c r="R32" s="123">
        <f>SUM(R22:R31)</f>
        <v>9934875</v>
      </c>
      <c r="U32" s="399"/>
    </row>
    <row r="33" spans="2:30" x14ac:dyDescent="0.25">
      <c r="F33" s="122"/>
      <c r="G33" s="19"/>
      <c r="H33" s="19"/>
      <c r="I33" s="19"/>
      <c r="J33" s="123"/>
      <c r="K33" s="19"/>
      <c r="L33" s="122"/>
      <c r="M33" s="19"/>
      <c r="N33" s="19"/>
      <c r="O33" s="19"/>
      <c r="P33" s="19"/>
      <c r="Q33" s="239"/>
      <c r="R33" s="123"/>
      <c r="U33" s="399"/>
    </row>
    <row r="34" spans="2:30" ht="15.75" thickBot="1" x14ac:dyDescent="0.3">
      <c r="D34" s="53" t="s">
        <v>193</v>
      </c>
      <c r="F34" s="134">
        <f>+F18-F32</f>
        <v>1060553</v>
      </c>
      <c r="G34" s="135"/>
      <c r="H34" s="135">
        <f>+H18-H32</f>
        <v>1339963</v>
      </c>
      <c r="I34" s="135"/>
      <c r="J34" s="136">
        <f>+J18-J32</f>
        <v>680100</v>
      </c>
      <c r="K34" s="135"/>
      <c r="L34" s="134">
        <f>+L18-L32</f>
        <v>0</v>
      </c>
      <c r="M34" s="135"/>
      <c r="N34" s="135">
        <f>+N18-N32</f>
        <v>0</v>
      </c>
      <c r="O34" s="135"/>
      <c r="P34" s="135">
        <f>+P18-P32</f>
        <v>0</v>
      </c>
      <c r="Q34" s="243"/>
      <c r="R34" s="136">
        <f>+R18-R32</f>
        <v>0</v>
      </c>
      <c r="U34" s="399"/>
    </row>
    <row r="35" spans="2:30" ht="15.75" thickTop="1" x14ac:dyDescent="0.25">
      <c r="F35" s="122"/>
      <c r="G35" s="19"/>
      <c r="H35" s="19"/>
      <c r="I35" s="19"/>
      <c r="J35" s="123"/>
      <c r="K35" s="19"/>
      <c r="L35" s="122"/>
      <c r="M35" s="19"/>
      <c r="N35" s="19"/>
      <c r="O35" s="19"/>
      <c r="P35" s="19"/>
      <c r="Q35" s="239"/>
      <c r="R35" s="123"/>
      <c r="U35" s="399"/>
    </row>
    <row r="36" spans="2:30" x14ac:dyDescent="0.25">
      <c r="B36" s="7" t="s">
        <v>53</v>
      </c>
      <c r="F36" s="122"/>
      <c r="G36" s="19"/>
      <c r="H36" s="19"/>
      <c r="I36" s="19"/>
      <c r="J36" s="123"/>
      <c r="K36" s="19"/>
      <c r="L36" s="122"/>
      <c r="M36" s="19"/>
      <c r="N36" s="19"/>
      <c r="O36" s="19"/>
      <c r="P36" s="19"/>
      <c r="Q36" s="239"/>
      <c r="R36" s="123"/>
      <c r="U36" s="399"/>
    </row>
    <row r="37" spans="2:30" x14ac:dyDescent="0.25">
      <c r="C37" t="s">
        <v>211</v>
      </c>
      <c r="F37" s="131">
        <f>F9+F34</f>
        <v>8688371</v>
      </c>
      <c r="G37" s="19"/>
      <c r="H37" s="132">
        <f>H9+H34</f>
        <v>10028334</v>
      </c>
      <c r="I37" s="19"/>
      <c r="J37" s="133">
        <f>J9+J34</f>
        <v>10708433</v>
      </c>
      <c r="K37" s="19"/>
      <c r="L37" s="131">
        <f>+L9+L18-L32</f>
        <v>10306942</v>
      </c>
      <c r="M37" s="19"/>
      <c r="N37" s="132">
        <f>+N9+N18-N32</f>
        <v>10708432</v>
      </c>
      <c r="O37" s="19"/>
      <c r="P37" s="132">
        <f t="shared" ref="P37" si="4">R37-L37</f>
        <v>401490</v>
      </c>
      <c r="Q37" s="239"/>
      <c r="R37" s="133">
        <f>+R9+R18-R32</f>
        <v>10708432</v>
      </c>
      <c r="U37" s="399"/>
    </row>
    <row r="38" spans="2:30" ht="15.75" thickBot="1" x14ac:dyDescent="0.3">
      <c r="B38" s="7" t="s">
        <v>137</v>
      </c>
      <c r="F38" s="137">
        <f>SUM(F36:F37)</f>
        <v>8688371</v>
      </c>
      <c r="G38" s="138"/>
      <c r="H38" s="138">
        <f>SUM(H36:H37)</f>
        <v>10028334</v>
      </c>
      <c r="I38" s="138"/>
      <c r="J38" s="140">
        <f>SUM(J36:J37)</f>
        <v>10708433</v>
      </c>
      <c r="K38" s="19"/>
      <c r="L38" s="137">
        <f>SUM(L36:L37)</f>
        <v>10306942</v>
      </c>
      <c r="M38" s="138"/>
      <c r="N38" s="138">
        <f>SUM(N36:N37)</f>
        <v>10708432</v>
      </c>
      <c r="O38" s="138"/>
      <c r="P38" s="138">
        <f>SUM(P36:P37)</f>
        <v>401490</v>
      </c>
      <c r="Q38" s="239"/>
      <c r="R38" s="140">
        <f>SUM(R36:R37)</f>
        <v>10708432</v>
      </c>
      <c r="U38" s="399"/>
    </row>
    <row r="39" spans="2:30" ht="15.75" thickBot="1" x14ac:dyDescent="0.3">
      <c r="F39" s="105"/>
      <c r="G39" s="105"/>
      <c r="H39" s="105"/>
      <c r="I39" s="105"/>
      <c r="J39" s="53"/>
      <c r="K39" s="105"/>
      <c r="L39" s="105"/>
      <c r="M39" s="105"/>
      <c r="N39" s="105"/>
      <c r="O39" s="105"/>
      <c r="P39" s="105"/>
      <c r="Q39" s="105"/>
      <c r="R39" s="105"/>
      <c r="U39" s="399"/>
    </row>
    <row r="40" spans="2:30" ht="15.75" thickBot="1" x14ac:dyDescent="0.3">
      <c r="F40" s="105"/>
      <c r="G40" s="105"/>
      <c r="H40" s="105"/>
      <c r="I40" s="105"/>
      <c r="J40" s="53" t="s">
        <v>268</v>
      </c>
      <c r="K40" s="105"/>
      <c r="L40" s="147">
        <f>+L38+L32</f>
        <v>20024406</v>
      </c>
      <c r="M40" s="82"/>
      <c r="N40" s="82"/>
      <c r="O40" s="82"/>
      <c r="P40" s="82"/>
      <c r="Q40" s="105"/>
      <c r="R40" s="147">
        <f>+R38+R32</f>
        <v>20643307</v>
      </c>
      <c r="U40" s="399"/>
    </row>
    <row r="41" spans="2:30" ht="15.75" thickBot="1" x14ac:dyDescent="0.3">
      <c r="U41" s="399"/>
      <c r="X41" s="186" t="s">
        <v>301</v>
      </c>
      <c r="Y41" s="186"/>
      <c r="Z41" s="186"/>
      <c r="AA41" s="186"/>
    </row>
    <row r="42" spans="2:30" ht="15.75" thickBot="1" x14ac:dyDescent="0.3">
      <c r="U42" s="399"/>
      <c r="W42" s="112" t="s">
        <v>367</v>
      </c>
      <c r="X42" s="112" t="s">
        <v>292</v>
      </c>
      <c r="Y42" s="112" t="s">
        <v>277</v>
      </c>
      <c r="Z42" s="112" t="s">
        <v>356</v>
      </c>
      <c r="AA42" s="112" t="s">
        <v>127</v>
      </c>
      <c r="AB42" s="112" t="s">
        <v>276</v>
      </c>
      <c r="AC42" s="112" t="s">
        <v>278</v>
      </c>
      <c r="AD42" s="183" t="s">
        <v>368</v>
      </c>
    </row>
    <row r="43" spans="2:30" x14ac:dyDescent="0.25">
      <c r="U43" s="399"/>
    </row>
    <row r="44" spans="2:30" x14ac:dyDescent="0.25">
      <c r="U44" s="399"/>
    </row>
    <row r="45" spans="2:30" x14ac:dyDescent="0.25">
      <c r="U45" s="399"/>
    </row>
    <row r="46" spans="2:30" x14ac:dyDescent="0.25">
      <c r="U46" s="399"/>
    </row>
    <row r="47" spans="2:30" x14ac:dyDescent="0.25">
      <c r="U47" s="399"/>
    </row>
    <row r="48" spans="2:30" x14ac:dyDescent="0.25">
      <c r="U48" s="399"/>
    </row>
  </sheetData>
  <mergeCells count="3">
    <mergeCell ref="U1:U48"/>
    <mergeCell ref="W20:AC20"/>
    <mergeCell ref="W19:AC19"/>
  </mergeCells>
  <pageMargins left="0.27" right="0.25" top="0.43" bottom="0.4" header="0.3" footer="0.17"/>
  <pageSetup scale="72" orientation="portrait" r:id="rId1"/>
  <headerFooter>
    <oddFooter>&amp;L&amp;D &amp;F&amp;C28&amp;R&amp;A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9612-3328-4D17-97DB-B18EFD90C191}">
  <sheetPr>
    <pageSetUpPr fitToPage="1"/>
  </sheetPr>
  <dimension ref="A1:BA49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7.710937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0.85546875" customWidth="1"/>
    <col min="10" max="10" width="17.42578125" customWidth="1"/>
    <col min="11" max="11" width="1" customWidth="1"/>
    <col min="12" max="12" width="17.42578125" customWidth="1"/>
    <col min="13" max="13" width="0.85546875" customWidth="1"/>
    <col min="14" max="14" width="17.42578125" customWidth="1"/>
    <col min="15" max="15" width="0.85546875" customWidth="1"/>
    <col min="16" max="16" width="17.42578125" customWidth="1"/>
    <col min="17" max="17" width="1" customWidth="1"/>
    <col min="18" max="18" width="17.4257812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4.42578125" hidden="1" customWidth="1"/>
    <col min="31" max="31" width="18" hidden="1" customWidth="1"/>
    <col min="32" max="32" width="19.42578125" hidden="1" customWidth="1"/>
    <col min="33" max="33" width="17.42578125" hidden="1" customWidth="1"/>
    <col min="34" max="34" width="16.140625" hidden="1" customWidth="1"/>
    <col min="35" max="36" width="0" hidden="1" customWidth="1"/>
    <col min="37" max="37" width="13.85546875" hidden="1" customWidth="1"/>
    <col min="38" max="42" width="0" hidden="1" customWidth="1"/>
    <col min="43" max="43" width="12.42578125" hidden="1" customWidth="1"/>
    <col min="44" max="44" width="10" hidden="1" customWidth="1"/>
    <col min="45" max="45" width="20.42578125" hidden="1" customWidth="1"/>
    <col min="46" max="46" width="18.140625" hidden="1" customWidth="1"/>
    <col min="47" max="52" width="0" hidden="1" customWidth="1"/>
    <col min="53" max="53" width="12.85546875" hidden="1" customWidth="1"/>
    <col min="54" max="54" width="0" hidden="1" customWidth="1"/>
  </cols>
  <sheetData>
    <row r="1" spans="1:34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34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</row>
    <row r="3" spans="1:34" ht="16.5" thickBot="1" x14ac:dyDescent="0.3">
      <c r="A3" s="4" t="s">
        <v>421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400" t="s">
        <v>379</v>
      </c>
      <c r="X3" s="400"/>
      <c r="Y3" s="400"/>
      <c r="Z3" s="400"/>
      <c r="AA3" s="400"/>
      <c r="AB3" s="400"/>
      <c r="AC3" s="400"/>
    </row>
    <row r="4" spans="1:34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401" t="s">
        <v>273</v>
      </c>
      <c r="X4" s="401"/>
      <c r="Y4" s="401"/>
      <c r="Z4" s="401"/>
      <c r="AA4" s="401"/>
      <c r="AB4" s="401"/>
      <c r="AC4" s="401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</row>
    <row r="5" spans="1:34" ht="15.7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/>
      <c r="N5" s="220" t="str">
        <f>'GF Summary 10'!N6</f>
        <v>Forecast</v>
      </c>
      <c r="O5" s="220">
        <f>'GF Summary 10'!O6</f>
        <v>0</v>
      </c>
      <c r="P5" s="220" t="str">
        <f>'Activity 23'!P5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</row>
    <row r="6" spans="1:34" ht="15.75" thickBot="1" x14ac:dyDescent="0.3">
      <c r="F6" s="223" t="str">
        <f>'GF Summary 10'!$F$7</f>
        <v>FY 22-23</v>
      </c>
      <c r="G6" s="224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/>
      <c r="N6" s="225" t="str">
        <f>'GF Summary 10'!N7</f>
        <v>FY 25-26</v>
      </c>
      <c r="O6" s="225">
        <f>'GF Summary 10'!O7</f>
        <v>0</v>
      </c>
      <c r="P6" s="228" t="str">
        <f>'Activity 23'!P6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70" t="e">
        <f>+#REF!</f>
        <v>#REF!</v>
      </c>
      <c r="AF6" s="70" t="e">
        <f>+#REF!</f>
        <v>#REF!</v>
      </c>
      <c r="AG6" s="70" t="e">
        <f>+#REF!</f>
        <v>#REF!</v>
      </c>
      <c r="AH6" s="70" t="e">
        <f>+#REF!</f>
        <v>#REF!</v>
      </c>
    </row>
    <row r="7" spans="1:34" x14ac:dyDescent="0.25">
      <c r="B7" s="7" t="s">
        <v>29</v>
      </c>
      <c r="F7" s="371"/>
      <c r="G7" s="217"/>
      <c r="H7" s="217"/>
      <c r="I7" s="217"/>
      <c r="J7" s="372"/>
      <c r="K7" s="211"/>
      <c r="L7" s="371"/>
      <c r="M7" s="217"/>
      <c r="N7" s="217"/>
      <c r="O7" s="217"/>
      <c r="P7" s="217"/>
      <c r="Q7" s="375"/>
      <c r="R7" s="372"/>
      <c r="S7" s="5"/>
      <c r="U7" s="399"/>
      <c r="W7" s="59" t="s">
        <v>369</v>
      </c>
      <c r="X7" s="59" t="s">
        <v>276</v>
      </c>
      <c r="Y7" s="59" t="s">
        <v>277</v>
      </c>
      <c r="Z7" s="59" t="s">
        <v>278</v>
      </c>
      <c r="AA7" s="59" t="s">
        <v>384</v>
      </c>
      <c r="AB7" s="59" t="s">
        <v>276</v>
      </c>
      <c r="AC7" s="59" t="s">
        <v>278</v>
      </c>
      <c r="AD7" s="59" t="s">
        <v>252</v>
      </c>
    </row>
    <row r="8" spans="1:34" x14ac:dyDescent="0.25">
      <c r="C8" t="s">
        <v>211</v>
      </c>
      <c r="F8" s="122">
        <v>29907149</v>
      </c>
      <c r="G8" s="19"/>
      <c r="H8" s="19">
        <v>5589747</v>
      </c>
      <c r="I8" s="19"/>
      <c r="J8" s="123">
        <v>1860944</v>
      </c>
      <c r="K8" s="19"/>
      <c r="L8" s="122">
        <v>0</v>
      </c>
      <c r="M8" s="19"/>
      <c r="N8" s="211">
        <v>0</v>
      </c>
      <c r="O8" s="19"/>
      <c r="P8" s="19">
        <f>R8-L8</f>
        <v>0</v>
      </c>
      <c r="Q8" s="239"/>
      <c r="R8" s="123">
        <v>0</v>
      </c>
      <c r="S8" s="5"/>
      <c r="U8" s="399"/>
      <c r="W8" s="59" t="s">
        <v>369</v>
      </c>
      <c r="X8" s="59" t="s">
        <v>276</v>
      </c>
      <c r="Y8" s="59" t="s">
        <v>277</v>
      </c>
      <c r="Z8" s="59" t="s">
        <v>278</v>
      </c>
      <c r="AA8" s="59" t="s">
        <v>385</v>
      </c>
      <c r="AB8" s="59" t="s">
        <v>276</v>
      </c>
      <c r="AC8" s="59" t="s">
        <v>278</v>
      </c>
      <c r="AD8" s="59" t="s">
        <v>408</v>
      </c>
    </row>
    <row r="9" spans="1:34" x14ac:dyDescent="0.25">
      <c r="B9" s="7" t="s">
        <v>31</v>
      </c>
      <c r="F9" s="124">
        <f>SUM(F8:F8)</f>
        <v>29907149</v>
      </c>
      <c r="G9" s="128"/>
      <c r="H9" s="126">
        <f>SUM(H8:H8)</f>
        <v>5589747</v>
      </c>
      <c r="I9" s="128"/>
      <c r="J9" s="127">
        <f>SUM(J8:J8)</f>
        <v>1860944</v>
      </c>
      <c r="K9" s="19"/>
      <c r="L9" s="124">
        <f>SUM(L8:L8)</f>
        <v>0</v>
      </c>
      <c r="M9" s="128"/>
      <c r="N9" s="210">
        <f>SUM(N8:N8)</f>
        <v>0</v>
      </c>
      <c r="O9" s="128"/>
      <c r="P9" s="126">
        <f>SUM(P8:P8)</f>
        <v>0</v>
      </c>
      <c r="Q9" s="239"/>
      <c r="R9" s="127">
        <f>SUM(R8:R8)</f>
        <v>0</v>
      </c>
      <c r="S9" s="5"/>
      <c r="U9" s="399"/>
      <c r="W9" s="59" t="s">
        <v>369</v>
      </c>
      <c r="X9" s="59" t="s">
        <v>276</v>
      </c>
      <c r="Y9" s="59" t="s">
        <v>277</v>
      </c>
      <c r="Z9" s="59" t="s">
        <v>278</v>
      </c>
      <c r="AA9" s="59" t="s">
        <v>407</v>
      </c>
      <c r="AB9" s="59" t="s">
        <v>276</v>
      </c>
      <c r="AC9" s="59" t="s">
        <v>278</v>
      </c>
      <c r="AD9" s="59" t="s">
        <v>409</v>
      </c>
    </row>
    <row r="10" spans="1:34" x14ac:dyDescent="0.25">
      <c r="F10" s="129"/>
      <c r="G10" s="128"/>
      <c r="H10" s="128"/>
      <c r="I10" s="128"/>
      <c r="J10" s="130"/>
      <c r="K10" s="19"/>
      <c r="L10" s="129"/>
      <c r="M10" s="128"/>
      <c r="N10" s="217"/>
      <c r="O10" s="128"/>
      <c r="P10" s="128"/>
      <c r="Q10" s="239"/>
      <c r="R10" s="130"/>
      <c r="S10" s="5"/>
      <c r="U10" s="399"/>
      <c r="W10" s="59" t="s">
        <v>369</v>
      </c>
      <c r="X10" s="59" t="s">
        <v>276</v>
      </c>
      <c r="Y10" s="59" t="s">
        <v>277</v>
      </c>
      <c r="Z10" s="59" t="s">
        <v>278</v>
      </c>
      <c r="AA10" s="59" t="s">
        <v>290</v>
      </c>
      <c r="AB10" s="59" t="s">
        <v>276</v>
      </c>
      <c r="AC10" s="59" t="s">
        <v>278</v>
      </c>
      <c r="AD10" s="172" t="s">
        <v>410</v>
      </c>
    </row>
    <row r="11" spans="1:34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211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D11" s="59"/>
    </row>
    <row r="12" spans="1:34" x14ac:dyDescent="0.25">
      <c r="B12" s="7" t="s">
        <v>246</v>
      </c>
      <c r="C12" t="s">
        <v>33</v>
      </c>
      <c r="F12" s="122">
        <v>888104</v>
      </c>
      <c r="G12" s="19"/>
      <c r="H12" s="19">
        <v>57382</v>
      </c>
      <c r="I12" s="19"/>
      <c r="J12" s="123">
        <v>33808</v>
      </c>
      <c r="K12" s="19"/>
      <c r="L12" s="122">
        <v>0</v>
      </c>
      <c r="M12" s="19"/>
      <c r="N12" s="211">
        <v>0</v>
      </c>
      <c r="O12" s="19"/>
      <c r="P12" s="19">
        <f t="shared" ref="P12:P15" si="0">R12-L12</f>
        <v>0</v>
      </c>
      <c r="Q12" s="239"/>
      <c r="R12" s="123">
        <v>0</v>
      </c>
      <c r="U12" s="399"/>
      <c r="W12" s="59"/>
      <c r="X12" s="59"/>
      <c r="Y12" s="59"/>
      <c r="Z12" s="59"/>
      <c r="AA12" s="59"/>
      <c r="AB12" s="59"/>
      <c r="AC12" s="59"/>
      <c r="AD12" s="59"/>
    </row>
    <row r="13" spans="1:34" x14ac:dyDescent="0.25">
      <c r="B13" s="7" t="s">
        <v>247</v>
      </c>
      <c r="C13" t="s">
        <v>35</v>
      </c>
      <c r="F13" s="122">
        <v>3487464</v>
      </c>
      <c r="G13" s="19"/>
      <c r="H13" s="19">
        <v>0</v>
      </c>
      <c r="I13" s="19"/>
      <c r="J13" s="123">
        <v>0</v>
      </c>
      <c r="K13" s="19"/>
      <c r="L13" s="122">
        <v>0</v>
      </c>
      <c r="M13" s="19"/>
      <c r="N13" s="211">
        <v>0</v>
      </c>
      <c r="O13" s="19"/>
      <c r="P13" s="19">
        <f t="shared" si="0"/>
        <v>0</v>
      </c>
      <c r="Q13" s="239"/>
      <c r="R13" s="123">
        <v>0</v>
      </c>
      <c r="U13" s="399"/>
      <c r="W13" s="59"/>
      <c r="X13" s="59"/>
      <c r="Y13" s="59"/>
      <c r="Z13" s="59"/>
      <c r="AA13" s="59"/>
      <c r="AB13" s="59"/>
      <c r="AC13" s="59"/>
      <c r="AD13" s="59"/>
    </row>
    <row r="14" spans="1:34" x14ac:dyDescent="0.25">
      <c r="B14" s="7" t="s">
        <v>248</v>
      </c>
      <c r="C14" t="s">
        <v>36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v>0</v>
      </c>
      <c r="M14" s="19"/>
      <c r="N14" s="211">
        <v>0</v>
      </c>
      <c r="O14" s="19"/>
      <c r="P14" s="19">
        <f t="shared" si="0"/>
        <v>0</v>
      </c>
      <c r="Q14" s="239"/>
      <c r="R14" s="123">
        <v>0</v>
      </c>
      <c r="U14" s="399"/>
      <c r="W14" s="59"/>
      <c r="X14" s="59"/>
      <c r="Y14" s="59"/>
      <c r="Z14" s="59"/>
      <c r="AA14" s="59"/>
      <c r="AB14" s="59"/>
      <c r="AC14" s="59"/>
      <c r="AD14" s="59"/>
    </row>
    <row r="15" spans="1:34" x14ac:dyDescent="0.25">
      <c r="B15" s="117">
        <v>5210</v>
      </c>
      <c r="C15" t="s">
        <v>70</v>
      </c>
      <c r="F15" s="131">
        <v>0</v>
      </c>
      <c r="G15" s="19"/>
      <c r="H15" s="132">
        <v>0</v>
      </c>
      <c r="I15" s="19"/>
      <c r="J15" s="133">
        <v>0</v>
      </c>
      <c r="K15" s="19"/>
      <c r="L15" s="131">
        <v>0</v>
      </c>
      <c r="M15" s="19"/>
      <c r="N15" s="209">
        <v>0</v>
      </c>
      <c r="O15" s="19"/>
      <c r="P15" s="132">
        <f t="shared" si="0"/>
        <v>0</v>
      </c>
      <c r="Q15" s="239"/>
      <c r="R15" s="133">
        <v>0</v>
      </c>
      <c r="U15" s="399"/>
      <c r="W15" s="59"/>
      <c r="X15" s="59"/>
      <c r="Y15" s="59"/>
      <c r="Z15" s="59"/>
      <c r="AA15" s="59"/>
      <c r="AB15" s="59"/>
      <c r="AC15" s="59"/>
      <c r="AD15" s="59"/>
    </row>
    <row r="16" spans="1:34" x14ac:dyDescent="0.25">
      <c r="B16" s="7" t="s">
        <v>37</v>
      </c>
      <c r="F16" s="122">
        <f>SUM(F11:F15)</f>
        <v>4375568</v>
      </c>
      <c r="G16" s="19"/>
      <c r="H16" s="19">
        <f>SUM(H11:H15)</f>
        <v>57382</v>
      </c>
      <c r="I16" s="19"/>
      <c r="J16" s="123">
        <f>SUM(J11:J15)</f>
        <v>33808</v>
      </c>
      <c r="K16" s="19"/>
      <c r="L16" s="122">
        <f>SUM(L11:L15)</f>
        <v>0</v>
      </c>
      <c r="M16" s="19"/>
      <c r="N16" s="211">
        <f>SUM(N11:N15)</f>
        <v>0</v>
      </c>
      <c r="O16" s="19"/>
      <c r="P16" s="19">
        <f>SUM(P11:P15)</f>
        <v>0</v>
      </c>
      <c r="Q16" s="239"/>
      <c r="R16" s="123">
        <f>SUM(R11:R15)</f>
        <v>0</v>
      </c>
      <c r="U16" s="399"/>
      <c r="W16" s="59"/>
      <c r="X16" s="59"/>
      <c r="Y16" s="59"/>
      <c r="Z16" s="59"/>
      <c r="AA16" s="59"/>
      <c r="AB16" s="59"/>
      <c r="AC16" s="59"/>
      <c r="AD16" s="59"/>
    </row>
    <row r="17" spans="2:53" x14ac:dyDescent="0.25">
      <c r="F17" s="122"/>
      <c r="G17" s="19"/>
      <c r="H17" s="19"/>
      <c r="I17" s="19"/>
      <c r="J17" s="123"/>
      <c r="K17" s="19"/>
      <c r="L17" s="122"/>
      <c r="M17" s="19"/>
      <c r="N17" s="211"/>
      <c r="O17" s="19"/>
      <c r="P17" s="19"/>
      <c r="Q17" s="239"/>
      <c r="R17" s="123"/>
      <c r="U17" s="399"/>
      <c r="W17" s="59"/>
      <c r="X17" s="59"/>
      <c r="Y17" s="59"/>
      <c r="Z17" s="59"/>
      <c r="AA17" s="59"/>
      <c r="AB17" s="59"/>
      <c r="AC17" s="59"/>
    </row>
    <row r="18" spans="2:53" x14ac:dyDescent="0.25">
      <c r="B18" s="7" t="s">
        <v>38</v>
      </c>
      <c r="F18" s="131">
        <f>F9+F16</f>
        <v>34282717</v>
      </c>
      <c r="G18" s="19"/>
      <c r="H18" s="132">
        <f>H9+H16</f>
        <v>5647129</v>
      </c>
      <c r="I18" s="19"/>
      <c r="J18" s="133">
        <f>J9+J16</f>
        <v>1894752</v>
      </c>
      <c r="K18" s="19"/>
      <c r="L18" s="131">
        <f>L9+L16</f>
        <v>0</v>
      </c>
      <c r="M18" s="19"/>
      <c r="N18" s="209">
        <f>N9+N16</f>
        <v>0</v>
      </c>
      <c r="O18" s="19"/>
      <c r="P18" s="132">
        <f>P9+P16</f>
        <v>0</v>
      </c>
      <c r="Q18" s="239"/>
      <c r="R18" s="133">
        <f>R9+R16</f>
        <v>0</v>
      </c>
      <c r="U18" s="399"/>
      <c r="W18" s="59"/>
      <c r="X18" s="59"/>
      <c r="Y18" s="59"/>
      <c r="Z18" s="59"/>
      <c r="AA18" s="59"/>
      <c r="AB18" s="59"/>
      <c r="AC18" s="59"/>
    </row>
    <row r="19" spans="2:53" x14ac:dyDescent="0.25">
      <c r="F19" s="122"/>
      <c r="G19" s="19"/>
      <c r="H19" s="126"/>
      <c r="I19" s="19"/>
      <c r="J19" s="127"/>
      <c r="K19" s="19"/>
      <c r="L19" s="122"/>
      <c r="M19" s="19"/>
      <c r="N19" s="210"/>
      <c r="O19" s="19"/>
      <c r="P19" s="126"/>
      <c r="Q19" s="239"/>
      <c r="R19" s="127"/>
      <c r="U19" s="399"/>
      <c r="W19" s="59"/>
      <c r="X19" s="59"/>
      <c r="Y19" s="59"/>
      <c r="Z19" s="59"/>
      <c r="AA19" s="59"/>
      <c r="AB19" s="59"/>
      <c r="AC19" s="59"/>
    </row>
    <row r="20" spans="2:53" x14ac:dyDescent="0.25">
      <c r="B20" s="7" t="s">
        <v>39</v>
      </c>
      <c r="F20" s="122"/>
      <c r="G20" s="19"/>
      <c r="H20" s="19"/>
      <c r="I20" s="19"/>
      <c r="J20" s="123"/>
      <c r="K20" s="19"/>
      <c r="L20" s="122"/>
      <c r="M20" s="19"/>
      <c r="N20" s="211"/>
      <c r="O20" s="19"/>
      <c r="P20" s="19"/>
      <c r="Q20" s="239"/>
      <c r="R20" s="123"/>
      <c r="U20" s="399"/>
      <c r="W20" s="5"/>
      <c r="X20" s="5"/>
      <c r="Y20" s="5"/>
      <c r="Z20" s="5"/>
      <c r="AA20" s="5"/>
      <c r="AB20" s="5"/>
      <c r="AC20" s="5"/>
    </row>
    <row r="21" spans="2:53" x14ac:dyDescent="0.25">
      <c r="B21" s="87" t="s">
        <v>204</v>
      </c>
      <c r="C21" t="s">
        <v>60</v>
      </c>
      <c r="F21" s="122">
        <v>0</v>
      </c>
      <c r="G21" s="19"/>
      <c r="H21" s="19">
        <v>0</v>
      </c>
      <c r="I21" s="19"/>
      <c r="J21" s="123">
        <v>0</v>
      </c>
      <c r="K21" s="19"/>
      <c r="L21" s="122">
        <v>0</v>
      </c>
      <c r="M21" s="19"/>
      <c r="N21" s="211">
        <v>0</v>
      </c>
      <c r="O21" s="19"/>
      <c r="P21" s="19">
        <f t="shared" ref="P21:P29" si="1">R21-L21</f>
        <v>0</v>
      </c>
      <c r="Q21" s="239"/>
      <c r="R21" s="123">
        <v>0</v>
      </c>
      <c r="U21" s="399"/>
      <c r="W21" s="5"/>
      <c r="X21" s="5"/>
      <c r="Y21" s="5"/>
      <c r="Z21" s="5"/>
      <c r="AA21" s="5"/>
      <c r="AB21" s="5"/>
      <c r="AC21" s="5"/>
    </row>
    <row r="22" spans="2:53" ht="16.5" thickBot="1" x14ac:dyDescent="0.3">
      <c r="B22" s="87" t="s">
        <v>196</v>
      </c>
      <c r="C22" t="s">
        <v>61</v>
      </c>
      <c r="F22" s="122">
        <v>0</v>
      </c>
      <c r="G22" s="19"/>
      <c r="H22" s="19">
        <v>0</v>
      </c>
      <c r="I22" s="19"/>
      <c r="J22" s="123">
        <v>0</v>
      </c>
      <c r="K22" s="19"/>
      <c r="L22" s="122">
        <v>0</v>
      </c>
      <c r="M22" s="19"/>
      <c r="N22" s="211">
        <v>0</v>
      </c>
      <c r="O22" s="19"/>
      <c r="P22" s="19">
        <f t="shared" si="1"/>
        <v>0</v>
      </c>
      <c r="Q22" s="239"/>
      <c r="R22" s="123">
        <v>0</v>
      </c>
      <c r="U22" s="399"/>
      <c r="W22" s="400" t="s">
        <v>378</v>
      </c>
      <c r="X22" s="400"/>
      <c r="Y22" s="400"/>
      <c r="Z22" s="400"/>
      <c r="AA22" s="400"/>
      <c r="AB22" s="400"/>
      <c r="AC22" s="400"/>
      <c r="AJ22" s="59"/>
      <c r="AK22" s="59"/>
      <c r="AL22" s="59"/>
      <c r="AM22" s="5"/>
      <c r="AN22" s="5"/>
      <c r="AO22" s="5"/>
      <c r="AP22" s="5"/>
      <c r="AU22" s="400" t="s">
        <v>173</v>
      </c>
      <c r="AV22" s="400"/>
      <c r="AW22" s="400"/>
      <c r="AX22" s="400"/>
      <c r="AY22" s="400"/>
      <c r="AZ22" s="400"/>
      <c r="BA22" s="400"/>
    </row>
    <row r="23" spans="2:53" ht="16.5" thickBot="1" x14ac:dyDescent="0.3">
      <c r="B23" s="87" t="s">
        <v>197</v>
      </c>
      <c r="C23" t="s">
        <v>62</v>
      </c>
      <c r="F23" s="122">
        <v>1311042</v>
      </c>
      <c r="G23" s="19"/>
      <c r="H23" s="19">
        <v>512692</v>
      </c>
      <c r="I23" s="19"/>
      <c r="J23" s="123">
        <v>122630</v>
      </c>
      <c r="K23" s="19"/>
      <c r="L23" s="122">
        <v>0</v>
      </c>
      <c r="M23" s="19"/>
      <c r="N23" s="211">
        <v>0</v>
      </c>
      <c r="O23" s="19"/>
      <c r="P23" s="19">
        <f t="shared" si="1"/>
        <v>0</v>
      </c>
      <c r="Q23" s="239"/>
      <c r="R23" s="123">
        <v>0</v>
      </c>
      <c r="U23" s="399"/>
      <c r="W23" s="401" t="s">
        <v>273</v>
      </c>
      <c r="X23" s="401"/>
      <c r="Y23" s="401"/>
      <c r="Z23" s="401"/>
      <c r="AA23" s="401"/>
      <c r="AB23" s="401"/>
      <c r="AC23" s="401"/>
      <c r="AE23" s="70" t="e">
        <f>+#REF!</f>
        <v>#REF!</v>
      </c>
      <c r="AF23" s="70" t="e">
        <f>+#REF!</f>
        <v>#REF!</v>
      </c>
      <c r="AG23" s="70" t="e">
        <f>+#REF!</f>
        <v>#REF!</v>
      </c>
      <c r="AH23" s="70" t="e">
        <f>+#REF!</f>
        <v>#REF!</v>
      </c>
      <c r="AJ23" s="104"/>
      <c r="AK23" s="104"/>
      <c r="AL23" s="59"/>
      <c r="AM23" s="96"/>
      <c r="AN23" s="94"/>
      <c r="AO23" s="94"/>
      <c r="AP23" s="101" t="s">
        <v>238</v>
      </c>
      <c r="AQ23" s="103">
        <f>+BudgetAssump!$K$23+BudgetAssump!K16</f>
        <v>0.214</v>
      </c>
      <c r="AR23" s="90"/>
      <c r="AS23" s="201" t="s">
        <v>236</v>
      </c>
      <c r="AT23" s="201"/>
      <c r="AU23" s="401" t="s">
        <v>272</v>
      </c>
      <c r="AV23" s="401"/>
      <c r="AW23" s="401"/>
      <c r="AX23" s="401"/>
      <c r="AY23" s="401"/>
      <c r="AZ23" s="401"/>
      <c r="BA23" s="401"/>
    </row>
    <row r="24" spans="2:53" ht="15.75" thickBot="1" x14ac:dyDescent="0.3">
      <c r="B24" s="87" t="s">
        <v>198</v>
      </c>
      <c r="C24" t="s">
        <v>63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211">
        <v>0</v>
      </c>
      <c r="O24" s="19"/>
      <c r="P24" s="19">
        <f t="shared" si="1"/>
        <v>0</v>
      </c>
      <c r="Q24" s="239"/>
      <c r="R24" s="123">
        <v>0</v>
      </c>
      <c r="U24" s="399"/>
      <c r="V24" s="187" t="s">
        <v>233</v>
      </c>
      <c r="W24" s="188" t="s">
        <v>231</v>
      </c>
      <c r="X24" s="188" t="s">
        <v>231</v>
      </c>
      <c r="Y24" s="188" t="s">
        <v>231</v>
      </c>
      <c r="Z24" s="188" t="s">
        <v>231</v>
      </c>
      <c r="AA24" s="188" t="s">
        <v>231</v>
      </c>
      <c r="AB24" s="188" t="s">
        <v>231</v>
      </c>
      <c r="AC24" s="188" t="s">
        <v>231</v>
      </c>
      <c r="AD24" s="187" t="s">
        <v>233</v>
      </c>
      <c r="AE24" s="188" t="s">
        <v>232</v>
      </c>
      <c r="AF24" s="188" t="s">
        <v>232</v>
      </c>
      <c r="AG24" s="188" t="s">
        <v>232</v>
      </c>
      <c r="AH24" s="188" t="s">
        <v>232</v>
      </c>
      <c r="AJ24" s="59" t="s">
        <v>231</v>
      </c>
      <c r="AK24" s="59" t="s">
        <v>231</v>
      </c>
      <c r="AL24" s="59" t="s">
        <v>231</v>
      </c>
      <c r="AM24" s="96" t="s">
        <v>232</v>
      </c>
      <c r="AN24" s="96" t="s">
        <v>232</v>
      </c>
      <c r="AO24" s="96" t="s">
        <v>232</v>
      </c>
      <c r="AP24" s="90" t="s">
        <v>232</v>
      </c>
      <c r="AQ24" s="201" t="s">
        <v>232</v>
      </c>
      <c r="AR24" s="90" t="s">
        <v>232</v>
      </c>
      <c r="AS24" s="201" t="s">
        <v>232</v>
      </c>
      <c r="AT24" s="201"/>
      <c r="AU24" s="90" t="s">
        <v>231</v>
      </c>
      <c r="AV24" s="90" t="s">
        <v>231</v>
      </c>
      <c r="AW24" s="90" t="s">
        <v>231</v>
      </c>
      <c r="AX24" s="90" t="s">
        <v>231</v>
      </c>
      <c r="AY24" s="90" t="s">
        <v>231</v>
      </c>
      <c r="AZ24" s="90" t="s">
        <v>231</v>
      </c>
      <c r="BA24" s="59" t="s">
        <v>231</v>
      </c>
    </row>
    <row r="25" spans="2:53" ht="15.75" thickBot="1" x14ac:dyDescent="0.3">
      <c r="B25" s="87" t="s">
        <v>199</v>
      </c>
      <c r="C25" t="s">
        <v>49</v>
      </c>
      <c r="F25" s="122">
        <v>0</v>
      </c>
      <c r="G25" s="19"/>
      <c r="H25" s="19">
        <v>0</v>
      </c>
      <c r="I25" s="19"/>
      <c r="J25" s="123">
        <v>0</v>
      </c>
      <c r="K25" s="19"/>
      <c r="L25" s="122">
        <v>0</v>
      </c>
      <c r="M25" s="19"/>
      <c r="N25" s="211">
        <v>0</v>
      </c>
      <c r="O25" s="19"/>
      <c r="P25" s="19">
        <f t="shared" si="1"/>
        <v>0</v>
      </c>
      <c r="Q25" s="239"/>
      <c r="R25" s="123">
        <v>0</v>
      </c>
      <c r="U25" s="399"/>
      <c r="W25" s="66" t="s">
        <v>144</v>
      </c>
      <c r="X25" s="69" t="s">
        <v>139</v>
      </c>
      <c r="Y25" s="67" t="s">
        <v>145</v>
      </c>
      <c r="Z25" s="69" t="s">
        <v>174</v>
      </c>
      <c r="AA25" s="67" t="s">
        <v>175</v>
      </c>
      <c r="AB25" s="69" t="s">
        <v>148</v>
      </c>
      <c r="AC25" s="68" t="s">
        <v>149</v>
      </c>
      <c r="AD25" s="68" t="s">
        <v>229</v>
      </c>
      <c r="AE25" s="70" t="e">
        <f>+#REF!</f>
        <v>#REF!</v>
      </c>
      <c r="AF25" s="70" t="e">
        <f>+#REF!</f>
        <v>#REF!</v>
      </c>
      <c r="AG25" s="70" t="e">
        <f>+#REF!</f>
        <v>#REF!</v>
      </c>
      <c r="AH25" s="70" t="e">
        <f>+#REF!</f>
        <v>#REF!</v>
      </c>
      <c r="AJ25" s="102" t="s">
        <v>138</v>
      </c>
      <c r="AK25" s="102" t="s">
        <v>150</v>
      </c>
      <c r="AL25" s="102" t="s">
        <v>235</v>
      </c>
      <c r="AM25" s="97" t="s">
        <v>140</v>
      </c>
      <c r="AN25" s="95" t="s">
        <v>141</v>
      </c>
      <c r="AO25" s="95" t="s">
        <v>142</v>
      </c>
      <c r="AP25" s="93" t="s">
        <v>143</v>
      </c>
      <c r="AQ25" s="99" t="s">
        <v>161</v>
      </c>
      <c r="AR25" s="93" t="s">
        <v>162</v>
      </c>
      <c r="AS25" s="99" t="s">
        <v>283</v>
      </c>
      <c r="AT25" s="99" t="s">
        <v>237</v>
      </c>
      <c r="AU25" s="202" t="s">
        <v>144</v>
      </c>
      <c r="AV25" s="202" t="s">
        <v>139</v>
      </c>
      <c r="AW25" s="202" t="s">
        <v>145</v>
      </c>
      <c r="AX25" s="202" t="s">
        <v>146</v>
      </c>
      <c r="AY25" s="202" t="s">
        <v>147</v>
      </c>
      <c r="AZ25" s="202" t="s">
        <v>148</v>
      </c>
      <c r="BA25" s="102" t="s">
        <v>149</v>
      </c>
    </row>
    <row r="26" spans="2:53" x14ac:dyDescent="0.25">
      <c r="B26" s="87" t="s">
        <v>200</v>
      </c>
      <c r="C26" t="s">
        <v>64</v>
      </c>
      <c r="F26" s="122">
        <v>196293</v>
      </c>
      <c r="G26" s="19"/>
      <c r="H26" s="19">
        <v>45980</v>
      </c>
      <c r="I26" s="19"/>
      <c r="J26" s="123">
        <v>56015</v>
      </c>
      <c r="K26" s="19"/>
      <c r="L26" s="122">
        <v>0</v>
      </c>
      <c r="M26" s="19"/>
      <c r="N26" s="211">
        <v>0</v>
      </c>
      <c r="O26" s="19"/>
      <c r="P26" s="19">
        <f t="shared" si="1"/>
        <v>0</v>
      </c>
      <c r="Q26" s="239"/>
      <c r="R26" s="123">
        <v>0</v>
      </c>
      <c r="U26" s="399"/>
      <c r="W26" s="59"/>
      <c r="X26" s="59"/>
      <c r="Y26" s="59"/>
      <c r="Z26" s="59"/>
      <c r="AA26" s="59"/>
      <c r="AB26" s="59"/>
      <c r="AC26" s="59"/>
      <c r="AD26" s="59"/>
      <c r="AE26" s="90"/>
      <c r="AF26" s="90"/>
      <c r="AG26" s="90"/>
      <c r="AH26" s="91"/>
      <c r="AJ26" s="59"/>
      <c r="AK26" s="59"/>
      <c r="AL26" s="59"/>
      <c r="AM26" s="96"/>
      <c r="AN26" s="94"/>
      <c r="AO26" s="94"/>
      <c r="AP26" s="90"/>
      <c r="AQ26" s="201">
        <f>+AP26*AQ23</f>
        <v>0</v>
      </c>
      <c r="AR26" s="90"/>
      <c r="AS26" s="201">
        <f>AQ26+AR26</f>
        <v>0</v>
      </c>
      <c r="AT26" s="201">
        <f>+AS26+AP26</f>
        <v>0</v>
      </c>
      <c r="AU26" s="59"/>
      <c r="AV26" s="59"/>
      <c r="AW26" s="59"/>
      <c r="AX26" s="59"/>
      <c r="AY26" s="59"/>
      <c r="AZ26" s="59"/>
      <c r="BA26" s="59"/>
    </row>
    <row r="27" spans="2:53" x14ac:dyDescent="0.25">
      <c r="B27" s="87" t="s">
        <v>201</v>
      </c>
      <c r="C27" t="s">
        <v>65</v>
      </c>
      <c r="F27" s="122">
        <v>27136476</v>
      </c>
      <c r="G27" s="19"/>
      <c r="H27" s="19">
        <v>3203222</v>
      </c>
      <c r="I27" s="19"/>
      <c r="J27" s="123">
        <v>1711937</v>
      </c>
      <c r="K27" s="19"/>
      <c r="L27" s="122">
        <v>0</v>
      </c>
      <c r="M27" s="19"/>
      <c r="N27" s="211">
        <v>0</v>
      </c>
      <c r="O27" s="19"/>
      <c r="P27" s="19">
        <f t="shared" si="1"/>
        <v>0</v>
      </c>
      <c r="Q27" s="239"/>
      <c r="R27" s="123">
        <v>0</v>
      </c>
      <c r="U27" s="39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2"/>
      <c r="AJ27" s="59"/>
      <c r="AK27" s="59"/>
      <c r="AL27" s="59"/>
      <c r="AM27" s="96"/>
      <c r="AN27" s="94"/>
      <c r="AO27" s="94"/>
      <c r="AP27" s="90"/>
      <c r="AQ27" s="201"/>
      <c r="AR27" s="90"/>
      <c r="AS27" s="201">
        <f t="shared" ref="AS27:AS48" si="2">AQ27+AR27</f>
        <v>0</v>
      </c>
      <c r="AT27" s="201">
        <f t="shared" ref="AT27:AT48" si="3">+AS27+AP27</f>
        <v>0</v>
      </c>
      <c r="AU27" s="59"/>
      <c r="AV27" s="59"/>
      <c r="AW27" s="59"/>
      <c r="AX27" s="59"/>
      <c r="AY27" s="59"/>
      <c r="AZ27" s="59"/>
      <c r="BA27" s="59"/>
    </row>
    <row r="28" spans="2:53" x14ac:dyDescent="0.25">
      <c r="B28" s="87" t="s">
        <v>202</v>
      </c>
      <c r="C28" t="s">
        <v>66</v>
      </c>
      <c r="F28" s="122">
        <v>49159</v>
      </c>
      <c r="G28" s="19"/>
      <c r="H28" s="19">
        <v>24291</v>
      </c>
      <c r="I28" s="19"/>
      <c r="J28" s="123">
        <v>4170</v>
      </c>
      <c r="K28" s="19"/>
      <c r="L28" s="122">
        <v>0</v>
      </c>
      <c r="M28" s="19"/>
      <c r="N28" s="211">
        <v>0</v>
      </c>
      <c r="O28" s="19"/>
      <c r="P28" s="19">
        <f t="shared" si="1"/>
        <v>0</v>
      </c>
      <c r="Q28" s="239"/>
      <c r="R28" s="123">
        <v>0</v>
      </c>
      <c r="U28" s="39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2"/>
      <c r="AJ28" s="59"/>
      <c r="AK28" s="59"/>
      <c r="AL28" s="59"/>
      <c r="AM28" s="96"/>
      <c r="AN28" s="94"/>
      <c r="AO28" s="94"/>
      <c r="AP28" s="90"/>
      <c r="AQ28" s="201"/>
      <c r="AR28" s="90"/>
      <c r="AS28" s="201">
        <f t="shared" si="2"/>
        <v>0</v>
      </c>
      <c r="AT28" s="201">
        <f t="shared" si="3"/>
        <v>0</v>
      </c>
      <c r="AU28" s="59"/>
      <c r="AV28" s="59"/>
      <c r="AW28" s="59"/>
      <c r="AX28" s="59"/>
      <c r="AY28" s="59"/>
      <c r="AZ28" s="59"/>
      <c r="BA28" s="59"/>
    </row>
    <row r="29" spans="2:53" x14ac:dyDescent="0.25">
      <c r="B29" s="87" t="s">
        <v>203</v>
      </c>
      <c r="C29" t="s">
        <v>67</v>
      </c>
      <c r="F29" s="131">
        <v>0</v>
      </c>
      <c r="G29" s="19"/>
      <c r="H29" s="132">
        <v>0</v>
      </c>
      <c r="I29" s="19"/>
      <c r="J29" s="133">
        <v>0</v>
      </c>
      <c r="K29" s="19"/>
      <c r="L29" s="131">
        <v>0</v>
      </c>
      <c r="M29" s="19"/>
      <c r="N29" s="209">
        <v>0</v>
      </c>
      <c r="O29" s="19"/>
      <c r="P29" s="132">
        <f t="shared" si="1"/>
        <v>0</v>
      </c>
      <c r="Q29" s="239"/>
      <c r="R29" s="133">
        <v>0</v>
      </c>
      <c r="U29" s="39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2"/>
      <c r="AJ29" s="59"/>
      <c r="AK29" s="59"/>
      <c r="AL29" s="59"/>
      <c r="AM29" s="96"/>
      <c r="AN29" s="94"/>
      <c r="AO29" s="94"/>
      <c r="AP29" s="90"/>
      <c r="AQ29" s="201"/>
      <c r="AR29" s="90"/>
      <c r="AS29" s="201">
        <f t="shared" si="2"/>
        <v>0</v>
      </c>
      <c r="AT29" s="201">
        <f t="shared" si="3"/>
        <v>0</v>
      </c>
      <c r="AU29" s="59"/>
      <c r="AV29" s="59"/>
      <c r="AW29" s="59"/>
      <c r="AX29" s="59"/>
      <c r="AY29" s="59"/>
      <c r="AZ29" s="59"/>
      <c r="BA29" s="59"/>
    </row>
    <row r="30" spans="2:53" x14ac:dyDescent="0.25">
      <c r="B30" s="7" t="s">
        <v>50</v>
      </c>
      <c r="F30" s="122">
        <f>SUM(F20:F29)</f>
        <v>28692970</v>
      </c>
      <c r="G30" s="19"/>
      <c r="H30" s="19">
        <f>SUM(H20:H29)</f>
        <v>3786185</v>
      </c>
      <c r="I30" s="19"/>
      <c r="J30" s="123">
        <f>SUM(J21:J29)</f>
        <v>1894752</v>
      </c>
      <c r="K30" s="19"/>
      <c r="L30" s="122">
        <f>SUM(L20:L29)</f>
        <v>0</v>
      </c>
      <c r="M30" s="19"/>
      <c r="N30" s="211">
        <f>SUM(N20:N29)</f>
        <v>0</v>
      </c>
      <c r="O30" s="19"/>
      <c r="P30" s="19">
        <f>SUM(P20:P29)</f>
        <v>0</v>
      </c>
      <c r="Q30" s="239"/>
      <c r="R30" s="123">
        <f>SUM(R20:R29)</f>
        <v>0</v>
      </c>
      <c r="U30" s="39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2"/>
      <c r="AJ30" s="59"/>
      <c r="AK30" s="59"/>
      <c r="AL30" s="59"/>
      <c r="AM30" s="96"/>
      <c r="AN30" s="94"/>
      <c r="AO30" s="94"/>
      <c r="AP30" s="90"/>
      <c r="AQ30" s="201"/>
      <c r="AR30" s="90"/>
      <c r="AS30" s="201">
        <f t="shared" si="2"/>
        <v>0</v>
      </c>
      <c r="AT30" s="201">
        <f t="shared" si="3"/>
        <v>0</v>
      </c>
      <c r="AU30" s="59"/>
      <c r="AV30" s="59"/>
      <c r="AW30" s="59"/>
      <c r="AX30" s="59"/>
      <c r="AY30" s="59"/>
      <c r="AZ30" s="59"/>
      <c r="BA30" s="59"/>
    </row>
    <row r="31" spans="2:53" x14ac:dyDescent="0.25">
      <c r="F31" s="122"/>
      <c r="G31" s="19"/>
      <c r="H31" s="19"/>
      <c r="I31" s="19"/>
      <c r="J31" s="123"/>
      <c r="K31" s="19"/>
      <c r="L31" s="122"/>
      <c r="M31" s="19"/>
      <c r="N31" s="211"/>
      <c r="O31" s="19"/>
      <c r="P31" s="19"/>
      <c r="Q31" s="239"/>
      <c r="R31" s="123"/>
      <c r="U31" s="39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2"/>
      <c r="AJ31" s="59"/>
      <c r="AK31" s="59"/>
      <c r="AL31" s="59"/>
      <c r="AM31" s="96"/>
      <c r="AN31" s="94"/>
      <c r="AO31" s="94"/>
      <c r="AP31" s="90"/>
      <c r="AQ31" s="201"/>
      <c r="AR31" s="90"/>
      <c r="AS31" s="201">
        <f t="shared" si="2"/>
        <v>0</v>
      </c>
      <c r="AT31" s="201">
        <f t="shared" si="3"/>
        <v>0</v>
      </c>
      <c r="AU31" s="59"/>
      <c r="AV31" s="59"/>
      <c r="AW31" s="59"/>
      <c r="AX31" s="59"/>
      <c r="AY31" s="59"/>
      <c r="AZ31" s="59"/>
      <c r="BA31" s="59"/>
    </row>
    <row r="32" spans="2:53" ht="14.1" customHeight="1" thickBot="1" x14ac:dyDescent="0.3">
      <c r="D32" s="53" t="s">
        <v>193</v>
      </c>
      <c r="F32" s="134">
        <f>+F16-F30</f>
        <v>-24317402</v>
      </c>
      <c r="G32" s="135"/>
      <c r="H32" s="135">
        <f>+H16-H30</f>
        <v>-3728803</v>
      </c>
      <c r="I32" s="135"/>
      <c r="J32" s="136">
        <f>+J16-J30</f>
        <v>-1860944</v>
      </c>
      <c r="K32" s="135"/>
      <c r="L32" s="134">
        <f>+L16-L30</f>
        <v>0</v>
      </c>
      <c r="M32" s="135"/>
      <c r="N32" s="208">
        <f>+N16-N30</f>
        <v>0</v>
      </c>
      <c r="O32" s="135"/>
      <c r="P32" s="135">
        <f>+P16-P30</f>
        <v>0</v>
      </c>
      <c r="Q32" s="243"/>
      <c r="R32" s="136">
        <f>+R16-R30</f>
        <v>0</v>
      </c>
      <c r="U32" s="39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2"/>
      <c r="AJ32" s="59"/>
      <c r="AK32" s="59"/>
      <c r="AL32" s="59"/>
      <c r="AM32" s="96"/>
      <c r="AN32" s="94"/>
      <c r="AO32" s="94"/>
      <c r="AP32" s="90"/>
      <c r="AQ32" s="201"/>
      <c r="AR32" s="90"/>
      <c r="AS32" s="201">
        <f t="shared" si="2"/>
        <v>0</v>
      </c>
      <c r="AT32" s="201">
        <f t="shared" si="3"/>
        <v>0</v>
      </c>
      <c r="AU32" s="59"/>
      <c r="AV32" s="59"/>
      <c r="AW32" s="59"/>
      <c r="AX32" s="59"/>
      <c r="AY32" s="59"/>
      <c r="AZ32" s="59"/>
      <c r="BA32" s="59"/>
    </row>
    <row r="33" spans="2:53" ht="15.75" thickTop="1" x14ac:dyDescent="0.25">
      <c r="B33" s="7" t="s">
        <v>53</v>
      </c>
      <c r="F33" s="122"/>
      <c r="G33" s="19"/>
      <c r="H33" s="19"/>
      <c r="I33" s="19"/>
      <c r="J33" s="123"/>
      <c r="K33" s="19"/>
      <c r="L33" s="122"/>
      <c r="M33" s="19"/>
      <c r="N33" s="211"/>
      <c r="O33" s="19"/>
      <c r="P33" s="19"/>
      <c r="Q33" s="239"/>
      <c r="R33" s="123"/>
      <c r="U33" s="39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2"/>
      <c r="AJ33" s="59"/>
      <c r="AK33" s="59"/>
      <c r="AL33" s="59"/>
      <c r="AM33" s="96"/>
      <c r="AN33" s="94"/>
      <c r="AO33" s="94"/>
      <c r="AP33" s="90"/>
      <c r="AQ33" s="201"/>
      <c r="AR33" s="90"/>
      <c r="AS33" s="201">
        <f t="shared" si="2"/>
        <v>0</v>
      </c>
      <c r="AT33" s="201">
        <f t="shared" si="3"/>
        <v>0</v>
      </c>
      <c r="AU33" s="59"/>
      <c r="AV33" s="59"/>
      <c r="AW33" s="59"/>
      <c r="AX33" s="59"/>
      <c r="AY33" s="59"/>
      <c r="AZ33" s="59"/>
      <c r="BA33" s="59"/>
    </row>
    <row r="34" spans="2:53" x14ac:dyDescent="0.25">
      <c r="C34" t="s">
        <v>211</v>
      </c>
      <c r="F34" s="131">
        <f>F9+F32</f>
        <v>5589747</v>
      </c>
      <c r="G34" s="19"/>
      <c r="H34" s="132">
        <f>H9+H32</f>
        <v>1860944</v>
      </c>
      <c r="I34" s="19"/>
      <c r="J34" s="133">
        <f>J9+J32</f>
        <v>0</v>
      </c>
      <c r="K34" s="19"/>
      <c r="L34" s="131">
        <f>L9+L16-L30</f>
        <v>0</v>
      </c>
      <c r="M34" s="19"/>
      <c r="N34" s="211">
        <f>N9+N16-N30</f>
        <v>0</v>
      </c>
      <c r="O34" s="19"/>
      <c r="P34" s="19">
        <f t="shared" ref="P34" si="4">R34-L34</f>
        <v>0</v>
      </c>
      <c r="Q34" s="239"/>
      <c r="R34" s="133">
        <f>R9+R16-R30</f>
        <v>0</v>
      </c>
      <c r="U34" s="39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2"/>
      <c r="AJ34" s="59"/>
      <c r="AK34" s="59"/>
      <c r="AL34" s="59"/>
      <c r="AM34" s="96"/>
      <c r="AN34" s="94"/>
      <c r="AO34" s="94"/>
      <c r="AP34" s="90"/>
      <c r="AQ34" s="201"/>
      <c r="AR34" s="90"/>
      <c r="AS34" s="201">
        <f t="shared" si="2"/>
        <v>0</v>
      </c>
      <c r="AT34" s="201">
        <f t="shared" si="3"/>
        <v>0</v>
      </c>
      <c r="AU34" s="59"/>
      <c r="AV34" s="59"/>
      <c r="AW34" s="59"/>
      <c r="AX34" s="59"/>
      <c r="AY34" s="59"/>
      <c r="AZ34" s="59"/>
      <c r="BA34" s="59"/>
    </row>
    <row r="35" spans="2:53" ht="15.75" thickBot="1" x14ac:dyDescent="0.3">
      <c r="B35" s="7" t="s">
        <v>137</v>
      </c>
      <c r="F35" s="137">
        <f>SUM(F33:F34)</f>
        <v>5589747</v>
      </c>
      <c r="G35" s="138"/>
      <c r="H35" s="138">
        <f>SUM(H33:H34)</f>
        <v>1860944</v>
      </c>
      <c r="I35" s="138"/>
      <c r="J35" s="140">
        <f>SUM(J33:J34)</f>
        <v>0</v>
      </c>
      <c r="K35" s="19"/>
      <c r="L35" s="137">
        <f>SUM(L33:L34)</f>
        <v>0</v>
      </c>
      <c r="M35" s="138"/>
      <c r="N35" s="218">
        <f>SUM(N33:N34)</f>
        <v>0</v>
      </c>
      <c r="O35" s="138"/>
      <c r="P35" s="145">
        <f>SUM(P33:P34)</f>
        <v>0</v>
      </c>
      <c r="Q35" s="239"/>
      <c r="R35" s="140">
        <f>SUM(R33:R34)</f>
        <v>0</v>
      </c>
      <c r="U35" s="39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2"/>
      <c r="AJ35" s="59"/>
      <c r="AK35" s="59"/>
      <c r="AL35" s="59"/>
      <c r="AM35" s="96"/>
      <c r="AN35" s="94"/>
      <c r="AO35" s="94"/>
      <c r="AP35" s="90"/>
      <c r="AQ35" s="201"/>
      <c r="AR35" s="90"/>
      <c r="AS35" s="201">
        <f t="shared" si="2"/>
        <v>0</v>
      </c>
      <c r="AT35" s="201">
        <f t="shared" si="3"/>
        <v>0</v>
      </c>
      <c r="AU35" s="59"/>
      <c r="AV35" s="59"/>
      <c r="AW35" s="59"/>
      <c r="AX35" s="59"/>
      <c r="AY35" s="59"/>
      <c r="AZ35" s="59"/>
      <c r="BA35" s="59"/>
    </row>
    <row r="36" spans="2:53" ht="15.75" thickBot="1" x14ac:dyDescent="0.3">
      <c r="F36" s="142"/>
      <c r="G36" s="142"/>
      <c r="H36" s="142"/>
      <c r="I36" s="142"/>
      <c r="J36" s="53"/>
      <c r="K36" s="19"/>
      <c r="L36" s="142"/>
      <c r="M36" s="142"/>
      <c r="N36" s="142"/>
      <c r="O36" s="142"/>
      <c r="P36" s="142"/>
      <c r="Q36" s="19"/>
      <c r="R36" s="142"/>
      <c r="U36" s="39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2"/>
      <c r="AJ36" s="59"/>
      <c r="AK36" s="59"/>
      <c r="AL36" s="59"/>
      <c r="AM36" s="96"/>
      <c r="AN36" s="94"/>
      <c r="AO36" s="94"/>
      <c r="AP36" s="90"/>
      <c r="AQ36" s="201"/>
      <c r="AR36" s="90"/>
      <c r="AS36" s="201">
        <f t="shared" si="2"/>
        <v>0</v>
      </c>
      <c r="AT36" s="201">
        <f t="shared" si="3"/>
        <v>0</v>
      </c>
      <c r="AU36" s="59"/>
      <c r="AV36" s="59"/>
      <c r="AW36" s="59"/>
      <c r="AX36" s="59"/>
      <c r="AY36" s="59"/>
      <c r="AZ36" s="59"/>
      <c r="BA36" s="59"/>
    </row>
    <row r="37" spans="2:53" ht="15.75" thickBot="1" x14ac:dyDescent="0.3">
      <c r="F37" s="142"/>
      <c r="G37" s="142"/>
      <c r="H37" s="142"/>
      <c r="I37" s="142"/>
      <c r="J37" s="53" t="s">
        <v>268</v>
      </c>
      <c r="K37" s="105"/>
      <c r="L37" s="147">
        <f>+L35+L30</f>
        <v>0</v>
      </c>
      <c r="M37" s="82"/>
      <c r="N37" s="82"/>
      <c r="O37" s="82"/>
      <c r="P37" s="82"/>
      <c r="Q37" s="105"/>
      <c r="R37" s="147">
        <f>+R35+R30</f>
        <v>0</v>
      </c>
      <c r="U37" s="399"/>
      <c r="W37" s="5"/>
      <c r="X37" s="5"/>
      <c r="Y37" s="5"/>
      <c r="Z37" s="5"/>
      <c r="AA37" s="5"/>
      <c r="AB37" s="5"/>
      <c r="AC37" s="5"/>
      <c r="AJ37" s="59"/>
      <c r="AK37" s="59"/>
      <c r="AL37" s="59"/>
      <c r="AM37" s="96"/>
      <c r="AN37" s="94"/>
      <c r="AO37" s="94"/>
      <c r="AP37" s="90"/>
      <c r="AQ37" s="201"/>
      <c r="AR37" s="90"/>
      <c r="AS37" s="201">
        <f t="shared" si="2"/>
        <v>0</v>
      </c>
      <c r="AT37" s="201">
        <f t="shared" si="3"/>
        <v>0</v>
      </c>
      <c r="AU37" s="59"/>
      <c r="AV37" s="59"/>
      <c r="AW37" s="59"/>
      <c r="AX37" s="59"/>
      <c r="AY37" s="59"/>
      <c r="AZ37" s="59"/>
      <c r="BA37" s="59"/>
    </row>
    <row r="38" spans="2:53" x14ac:dyDescent="0.25">
      <c r="F38" s="5"/>
      <c r="G38" s="5"/>
      <c r="H38" s="5"/>
      <c r="I38" s="5"/>
      <c r="J38" s="53"/>
      <c r="K38" s="5"/>
      <c r="L38" s="5"/>
      <c r="M38" s="5"/>
      <c r="N38" s="5"/>
      <c r="O38" s="5"/>
      <c r="P38" s="5"/>
      <c r="Q38" s="5"/>
      <c r="R38" s="5"/>
      <c r="U38" s="399"/>
      <c r="W38" s="5"/>
      <c r="X38" s="5"/>
      <c r="Y38" s="5"/>
      <c r="Z38" s="5"/>
      <c r="AA38" s="5"/>
      <c r="AB38" s="5"/>
      <c r="AC38" s="5"/>
      <c r="AJ38" s="59"/>
      <c r="AK38" s="59"/>
      <c r="AL38" s="59"/>
      <c r="AM38" s="96"/>
      <c r="AN38" s="94"/>
      <c r="AO38" s="94"/>
      <c r="AP38" s="90"/>
      <c r="AQ38" s="201"/>
      <c r="AR38" s="90"/>
      <c r="AS38" s="201">
        <f t="shared" si="2"/>
        <v>0</v>
      </c>
      <c r="AT38" s="201">
        <f t="shared" si="3"/>
        <v>0</v>
      </c>
      <c r="AU38" s="59"/>
      <c r="AV38" s="59"/>
      <c r="AW38" s="59"/>
      <c r="AX38" s="59"/>
      <c r="AY38" s="59"/>
      <c r="AZ38" s="59"/>
      <c r="BA38" s="59"/>
    </row>
    <row r="39" spans="2:53" x14ac:dyDescent="0.25">
      <c r="AJ39" s="59"/>
      <c r="AK39" s="59"/>
      <c r="AL39" s="59"/>
      <c r="AM39" s="96"/>
      <c r="AN39" s="94"/>
      <c r="AO39" s="94"/>
      <c r="AP39" s="90"/>
      <c r="AQ39" s="201"/>
      <c r="AR39" s="90"/>
      <c r="AS39" s="201">
        <f t="shared" si="2"/>
        <v>0</v>
      </c>
      <c r="AT39" s="201">
        <f t="shared" si="3"/>
        <v>0</v>
      </c>
      <c r="AU39" s="59"/>
      <c r="AV39" s="59"/>
      <c r="AW39" s="59"/>
      <c r="AX39" s="59"/>
      <c r="AY39" s="59"/>
      <c r="AZ39" s="59"/>
      <c r="BA39" s="59"/>
    </row>
    <row r="40" spans="2:53" x14ac:dyDescent="0.25">
      <c r="AJ40" s="59"/>
      <c r="AK40" s="59"/>
      <c r="AL40" s="59"/>
      <c r="AM40" s="96"/>
      <c r="AN40" s="94"/>
      <c r="AO40" s="94"/>
      <c r="AP40" s="90"/>
      <c r="AQ40" s="201"/>
      <c r="AR40" s="90"/>
      <c r="AS40" s="201">
        <f t="shared" si="2"/>
        <v>0</v>
      </c>
      <c r="AT40" s="201">
        <f t="shared" si="3"/>
        <v>0</v>
      </c>
      <c r="AU40" s="59"/>
      <c r="AV40" s="59"/>
      <c r="AW40" s="59"/>
      <c r="AX40" s="59"/>
      <c r="AY40" s="59"/>
      <c r="AZ40" s="59"/>
      <c r="BA40" s="59"/>
    </row>
    <row r="41" spans="2:53" x14ac:dyDescent="0.25">
      <c r="AJ41" s="59"/>
      <c r="AK41" s="59"/>
      <c r="AL41" s="59"/>
      <c r="AM41" s="96"/>
      <c r="AN41" s="94"/>
      <c r="AO41" s="94"/>
      <c r="AP41" s="90"/>
      <c r="AQ41" s="201"/>
      <c r="AR41" s="90"/>
      <c r="AS41" s="201">
        <f t="shared" si="2"/>
        <v>0</v>
      </c>
      <c r="AT41" s="201">
        <f t="shared" si="3"/>
        <v>0</v>
      </c>
      <c r="AU41" s="59"/>
      <c r="AV41" s="59"/>
      <c r="AW41" s="59"/>
      <c r="AX41" s="59"/>
      <c r="AY41" s="59"/>
      <c r="AZ41" s="59"/>
      <c r="BA41" s="59"/>
    </row>
    <row r="42" spans="2:53" x14ac:dyDescent="0.25">
      <c r="AJ42" s="59"/>
      <c r="AK42" s="59"/>
      <c r="AL42" s="59"/>
      <c r="AM42" s="96"/>
      <c r="AN42" s="94"/>
      <c r="AO42" s="94"/>
      <c r="AP42" s="90"/>
      <c r="AQ42" s="201"/>
      <c r="AR42" s="90"/>
      <c r="AS42" s="201">
        <f t="shared" si="2"/>
        <v>0</v>
      </c>
      <c r="AT42" s="201">
        <f t="shared" si="3"/>
        <v>0</v>
      </c>
      <c r="AU42" s="59"/>
      <c r="AV42" s="59"/>
      <c r="AW42" s="59"/>
      <c r="AX42" s="59"/>
      <c r="AY42" s="59"/>
      <c r="AZ42" s="59"/>
      <c r="BA42" s="59"/>
    </row>
    <row r="43" spans="2:53" ht="15.75" thickBot="1" x14ac:dyDescent="0.3">
      <c r="X43" s="186" t="s">
        <v>301</v>
      </c>
      <c r="Y43" s="186"/>
      <c r="Z43" s="186"/>
      <c r="AA43" s="186"/>
      <c r="AJ43" s="59"/>
      <c r="AK43" s="59"/>
      <c r="AL43" s="59"/>
      <c r="AM43" s="96"/>
      <c r="AN43" s="94"/>
      <c r="AO43" s="94"/>
      <c r="AP43" s="90"/>
      <c r="AQ43" s="201"/>
      <c r="AR43" s="90"/>
      <c r="AS43" s="201">
        <f t="shared" si="2"/>
        <v>0</v>
      </c>
      <c r="AT43" s="201">
        <f t="shared" si="3"/>
        <v>0</v>
      </c>
      <c r="AU43" s="59"/>
      <c r="AV43" s="59"/>
      <c r="AW43" s="59"/>
      <c r="AX43" s="59"/>
      <c r="AY43" s="59"/>
      <c r="AZ43" s="59"/>
      <c r="BA43" s="59"/>
    </row>
    <row r="44" spans="2:53" ht="15.75" thickBot="1" x14ac:dyDescent="0.3">
      <c r="W44" s="203" t="s">
        <v>369</v>
      </c>
      <c r="X44" s="203" t="s">
        <v>292</v>
      </c>
      <c r="Y44" s="203" t="s">
        <v>277</v>
      </c>
      <c r="Z44" s="203" t="s">
        <v>356</v>
      </c>
      <c r="AA44" s="203" t="s">
        <v>127</v>
      </c>
      <c r="AB44" s="203" t="s">
        <v>276</v>
      </c>
      <c r="AC44" s="203" t="s">
        <v>278</v>
      </c>
      <c r="AD44" s="183" t="s">
        <v>364</v>
      </c>
      <c r="AE44" s="183"/>
      <c r="AJ44" s="59"/>
      <c r="AK44" s="59"/>
      <c r="AL44" s="59"/>
      <c r="AM44" s="96"/>
      <c r="AN44" s="94"/>
      <c r="AO44" s="94"/>
      <c r="AP44" s="90"/>
      <c r="AQ44" s="201"/>
      <c r="AR44" s="90"/>
      <c r="AS44" s="201">
        <f t="shared" si="2"/>
        <v>0</v>
      </c>
      <c r="AT44" s="201">
        <f t="shared" si="3"/>
        <v>0</v>
      </c>
      <c r="AU44" s="59"/>
      <c r="AV44" s="59"/>
      <c r="AW44" s="59"/>
      <c r="AX44" s="59"/>
      <c r="AY44" s="59"/>
      <c r="AZ44" s="59"/>
      <c r="BA44" s="59"/>
    </row>
    <row r="45" spans="2:53" x14ac:dyDescent="0.25">
      <c r="AJ45" s="59"/>
      <c r="AK45" s="59"/>
      <c r="AL45" s="59"/>
      <c r="AM45" s="96"/>
      <c r="AN45" s="94"/>
      <c r="AO45" s="94"/>
      <c r="AP45" s="90"/>
      <c r="AQ45" s="201"/>
      <c r="AR45" s="90"/>
      <c r="AS45" s="201">
        <f t="shared" si="2"/>
        <v>0</v>
      </c>
      <c r="AT45" s="201">
        <f t="shared" si="3"/>
        <v>0</v>
      </c>
      <c r="AU45" s="59"/>
      <c r="AV45" s="59"/>
      <c r="AW45" s="59"/>
      <c r="AX45" s="59"/>
      <c r="AY45" s="59"/>
      <c r="AZ45" s="59"/>
      <c r="BA45" s="59"/>
    </row>
    <row r="46" spans="2:53" x14ac:dyDescent="0.25">
      <c r="AJ46" s="59"/>
      <c r="AK46" s="59"/>
      <c r="AL46" s="59"/>
      <c r="AM46" s="96"/>
      <c r="AN46" s="94"/>
      <c r="AO46" s="94"/>
      <c r="AP46" s="90"/>
      <c r="AQ46" s="201"/>
      <c r="AR46" s="90"/>
      <c r="AS46" s="201">
        <f t="shared" si="2"/>
        <v>0</v>
      </c>
      <c r="AT46" s="201">
        <f t="shared" si="3"/>
        <v>0</v>
      </c>
      <c r="AU46" s="59"/>
      <c r="AV46" s="59"/>
      <c r="AW46" s="59"/>
      <c r="AX46" s="59"/>
      <c r="AY46" s="59"/>
      <c r="AZ46" s="59"/>
      <c r="BA46" s="59"/>
    </row>
    <row r="47" spans="2:53" x14ac:dyDescent="0.25">
      <c r="AL47" s="59"/>
      <c r="AM47" s="96"/>
      <c r="AN47" s="94"/>
      <c r="AO47" s="94"/>
      <c r="AP47" s="90"/>
      <c r="AQ47" s="201"/>
      <c r="AR47" s="90"/>
      <c r="AS47" s="201">
        <f t="shared" si="2"/>
        <v>0</v>
      </c>
      <c r="AT47" s="201">
        <f t="shared" si="3"/>
        <v>0</v>
      </c>
    </row>
    <row r="48" spans="2:53" x14ac:dyDescent="0.25">
      <c r="AL48" s="59"/>
      <c r="AM48" s="96"/>
      <c r="AN48" s="94"/>
      <c r="AO48" s="94"/>
      <c r="AP48" s="90"/>
      <c r="AQ48" s="201"/>
      <c r="AR48" s="90"/>
      <c r="AS48" s="201">
        <f t="shared" si="2"/>
        <v>0</v>
      </c>
      <c r="AT48" s="201">
        <f t="shared" si="3"/>
        <v>0</v>
      </c>
    </row>
    <row r="49" spans="38:46" x14ac:dyDescent="0.25">
      <c r="AL49" s="51" t="s">
        <v>239</v>
      </c>
      <c r="AM49" s="113">
        <f>SUM(AM26:AM48)</f>
        <v>0</v>
      </c>
      <c r="AN49" s="114"/>
      <c r="AO49" s="114"/>
      <c r="AP49" s="115">
        <f>SUM(AP26:AP48)</f>
        <v>0</v>
      </c>
      <c r="AQ49" s="115">
        <f>SUM(AQ26:AQ48)</f>
        <v>0</v>
      </c>
      <c r="AR49" s="115">
        <f>SUM(AR26:AR48)</f>
        <v>0</v>
      </c>
      <c r="AS49" s="115">
        <f>SUM(AS26:AS48)</f>
        <v>0</v>
      </c>
      <c r="AT49" s="115">
        <f>SUM(AT26:AT48)</f>
        <v>0</v>
      </c>
    </row>
  </sheetData>
  <mergeCells count="7">
    <mergeCell ref="U1:U38"/>
    <mergeCell ref="W3:AC3"/>
    <mergeCell ref="W4:AC4"/>
    <mergeCell ref="W22:AC22"/>
    <mergeCell ref="AU22:BA22"/>
    <mergeCell ref="W23:AC23"/>
    <mergeCell ref="AU23:BA23"/>
  </mergeCells>
  <pageMargins left="0.27" right="0.25" top="0.43" bottom="0.4" header="0.3" footer="0.17"/>
  <pageSetup scale="73" orientation="portrait" r:id="rId1"/>
  <headerFooter>
    <oddFooter>&amp;L&amp;D &amp;F&amp;C30
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pageSetUpPr fitToPage="1"/>
  </sheetPr>
  <dimension ref="A1:BA50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6.4257812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4.42578125" hidden="1" customWidth="1"/>
    <col min="31" max="31" width="18" hidden="1" customWidth="1"/>
    <col min="32" max="32" width="19.42578125" hidden="1" customWidth="1"/>
    <col min="33" max="33" width="17.42578125" hidden="1" customWidth="1"/>
    <col min="34" max="34" width="16.140625" hidden="1" customWidth="1"/>
    <col min="35" max="36" width="0" hidden="1" customWidth="1"/>
    <col min="37" max="37" width="13.85546875" hidden="1" customWidth="1"/>
    <col min="38" max="42" width="0" hidden="1" customWidth="1"/>
    <col min="43" max="43" width="12.42578125" hidden="1" customWidth="1"/>
    <col min="44" max="44" width="10" hidden="1" customWidth="1"/>
    <col min="45" max="45" width="20.42578125" hidden="1" customWidth="1"/>
    <col min="46" max="46" width="18.140625" hidden="1" customWidth="1"/>
    <col min="47" max="52" width="0" hidden="1" customWidth="1"/>
    <col min="53" max="53" width="12.85546875" hidden="1" customWidth="1"/>
    <col min="54" max="54" width="0" hidden="1" customWidth="1"/>
  </cols>
  <sheetData>
    <row r="1" spans="1:34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34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</row>
    <row r="3" spans="1:34" ht="16.5" thickBot="1" x14ac:dyDescent="0.3">
      <c r="A3" s="4" t="s">
        <v>260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400" t="s">
        <v>379</v>
      </c>
      <c r="X3" s="400"/>
      <c r="Y3" s="400"/>
      <c r="Z3" s="400"/>
      <c r="AA3" s="400"/>
      <c r="AB3" s="400"/>
      <c r="AC3" s="400"/>
    </row>
    <row r="4" spans="1:34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401" t="s">
        <v>273</v>
      </c>
      <c r="X4" s="401"/>
      <c r="Y4" s="401"/>
      <c r="Z4" s="401"/>
      <c r="AA4" s="401"/>
      <c r="AB4" s="401"/>
      <c r="AC4" s="401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</row>
    <row r="5" spans="1:34" ht="15.7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/>
      <c r="N5" s="220" t="str">
        <f>'GF Summary 10'!N6</f>
        <v>Forecast</v>
      </c>
      <c r="O5" s="220">
        <f>'GF Summary 10'!O6</f>
        <v>0</v>
      </c>
      <c r="P5" s="220" t="str">
        <f>'Activity 23'!P5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</row>
    <row r="6" spans="1:34" ht="15.75" thickBot="1" x14ac:dyDescent="0.3">
      <c r="F6" s="223" t="str">
        <f>'GF Summary 10'!$F$7</f>
        <v>FY 22-23</v>
      </c>
      <c r="G6" s="224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/>
      <c r="N6" s="225" t="str">
        <f>'GF Summary 10'!N7</f>
        <v>FY 25-26</v>
      </c>
      <c r="O6" s="225">
        <f>'GF Summary 10'!O7</f>
        <v>0</v>
      </c>
      <c r="P6" s="228" t="str">
        <f>'Activity 23'!P6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70" t="e">
        <f>+#REF!</f>
        <v>#REF!</v>
      </c>
      <c r="AF6" s="70" t="e">
        <f>+#REF!</f>
        <v>#REF!</v>
      </c>
      <c r="AG6" s="70" t="e">
        <f>+#REF!</f>
        <v>#REF!</v>
      </c>
      <c r="AH6" s="70" t="e">
        <f>+#REF!</f>
        <v>#REF!</v>
      </c>
    </row>
    <row r="7" spans="1:34" x14ac:dyDescent="0.25">
      <c r="B7" s="7" t="s">
        <v>29</v>
      </c>
      <c r="F7" s="371"/>
      <c r="G7" s="217"/>
      <c r="H7" s="217"/>
      <c r="I7" s="217"/>
      <c r="J7" s="372"/>
      <c r="K7" s="211"/>
      <c r="L7" s="371"/>
      <c r="M7" s="217"/>
      <c r="N7" s="217"/>
      <c r="O7" s="217"/>
      <c r="P7" s="217"/>
      <c r="Q7" s="375"/>
      <c r="R7" s="372"/>
      <c r="S7" s="5"/>
      <c r="U7" s="399"/>
      <c r="W7" s="59" t="s">
        <v>369</v>
      </c>
      <c r="X7" s="59" t="s">
        <v>276</v>
      </c>
      <c r="Y7" s="59" t="s">
        <v>277</v>
      </c>
      <c r="Z7" s="59" t="s">
        <v>278</v>
      </c>
      <c r="AA7" s="59" t="s">
        <v>384</v>
      </c>
      <c r="AB7" s="59" t="s">
        <v>276</v>
      </c>
      <c r="AC7" s="59" t="s">
        <v>278</v>
      </c>
      <c r="AD7" s="59" t="s">
        <v>252</v>
      </c>
    </row>
    <row r="8" spans="1:34" x14ac:dyDescent="0.25">
      <c r="C8" t="s">
        <v>211</v>
      </c>
      <c r="F8" s="122">
        <v>9559310</v>
      </c>
      <c r="G8" s="19"/>
      <c r="H8" s="19">
        <v>14069227</v>
      </c>
      <c r="I8" s="19"/>
      <c r="J8" s="123">
        <v>18872332</v>
      </c>
      <c r="K8" s="19"/>
      <c r="L8" s="122">
        <v>18054776</v>
      </c>
      <c r="M8" s="19"/>
      <c r="N8" s="211">
        <v>22986486</v>
      </c>
      <c r="O8" s="19"/>
      <c r="P8" s="19">
        <f>R8-L8</f>
        <v>2083110</v>
      </c>
      <c r="Q8" s="239"/>
      <c r="R8" s="123">
        <v>20137886</v>
      </c>
      <c r="S8" s="5"/>
      <c r="U8" s="399"/>
      <c r="W8" s="59" t="s">
        <v>369</v>
      </c>
      <c r="X8" s="59" t="s">
        <v>276</v>
      </c>
      <c r="Y8" s="59" t="s">
        <v>277</v>
      </c>
      <c r="Z8" s="59" t="s">
        <v>278</v>
      </c>
      <c r="AA8" s="59" t="s">
        <v>385</v>
      </c>
      <c r="AB8" s="59" t="s">
        <v>276</v>
      </c>
      <c r="AC8" s="59" t="s">
        <v>278</v>
      </c>
      <c r="AD8" s="59" t="s">
        <v>408</v>
      </c>
    </row>
    <row r="9" spans="1:34" x14ac:dyDescent="0.25">
      <c r="B9" s="7" t="s">
        <v>31</v>
      </c>
      <c r="F9" s="124">
        <f>SUM(F8:F8)</f>
        <v>9559310</v>
      </c>
      <c r="G9" s="128"/>
      <c r="H9" s="126">
        <f>SUM(H8:H8)</f>
        <v>14069227</v>
      </c>
      <c r="I9" s="128"/>
      <c r="J9" s="127">
        <f>SUM(J8:J8)</f>
        <v>18872332</v>
      </c>
      <c r="K9" s="19"/>
      <c r="L9" s="124">
        <f>SUM(L8:L8)</f>
        <v>18054776</v>
      </c>
      <c r="M9" s="128"/>
      <c r="N9" s="210">
        <f>SUM(N8:N8)</f>
        <v>22986486</v>
      </c>
      <c r="O9" s="128"/>
      <c r="P9" s="126">
        <f>SUM(P8:P8)</f>
        <v>2083110</v>
      </c>
      <c r="Q9" s="239"/>
      <c r="R9" s="127">
        <f>SUM(R8:R8)</f>
        <v>20137886</v>
      </c>
      <c r="S9" s="5"/>
      <c r="U9" s="399"/>
      <c r="W9" s="59" t="s">
        <v>369</v>
      </c>
      <c r="X9" s="59" t="s">
        <v>276</v>
      </c>
      <c r="Y9" s="59" t="s">
        <v>277</v>
      </c>
      <c r="Z9" s="59" t="s">
        <v>278</v>
      </c>
      <c r="AA9" s="59" t="s">
        <v>407</v>
      </c>
      <c r="AB9" s="59" t="s">
        <v>276</v>
      </c>
      <c r="AC9" s="59" t="s">
        <v>278</v>
      </c>
      <c r="AD9" s="59" t="s">
        <v>409</v>
      </c>
    </row>
    <row r="10" spans="1:34" x14ac:dyDescent="0.25">
      <c r="F10" s="129"/>
      <c r="G10" s="128"/>
      <c r="H10" s="128"/>
      <c r="I10" s="128"/>
      <c r="J10" s="130"/>
      <c r="K10" s="19"/>
      <c r="L10" s="129"/>
      <c r="M10" s="128"/>
      <c r="N10" s="217"/>
      <c r="O10" s="128"/>
      <c r="P10" s="128"/>
      <c r="Q10" s="239"/>
      <c r="R10" s="130"/>
      <c r="S10" s="5"/>
      <c r="U10" s="399"/>
      <c r="W10" s="59" t="s">
        <v>369</v>
      </c>
      <c r="X10" s="59" t="s">
        <v>276</v>
      </c>
      <c r="Y10" s="59" t="s">
        <v>277</v>
      </c>
      <c r="Z10" s="59" t="s">
        <v>278</v>
      </c>
      <c r="AA10" s="59" t="s">
        <v>290</v>
      </c>
      <c r="AB10" s="59" t="s">
        <v>276</v>
      </c>
      <c r="AC10" s="59" t="s">
        <v>278</v>
      </c>
      <c r="AD10" s="172" t="s">
        <v>410</v>
      </c>
    </row>
    <row r="11" spans="1:34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211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D11" s="59"/>
    </row>
    <row r="12" spans="1:34" x14ac:dyDescent="0.25">
      <c r="B12" s="7" t="s">
        <v>246</v>
      </c>
      <c r="C12" t="s">
        <v>33</v>
      </c>
      <c r="F12" s="122">
        <v>462152</v>
      </c>
      <c r="G12" s="19"/>
      <c r="H12" s="19">
        <v>414004</v>
      </c>
      <c r="I12" s="19"/>
      <c r="J12" s="123">
        <v>813877</v>
      </c>
      <c r="K12" s="19"/>
      <c r="L12" s="122">
        <v>286400</v>
      </c>
      <c r="M12" s="19"/>
      <c r="N12" s="211">
        <v>286400</v>
      </c>
      <c r="O12" s="19"/>
      <c r="P12" s="19">
        <f t="shared" ref="P12:P15" si="0">R12-L12</f>
        <v>-45537</v>
      </c>
      <c r="Q12" s="239"/>
      <c r="R12" s="123">
        <v>240863</v>
      </c>
      <c r="U12" s="399"/>
      <c r="W12" s="59"/>
      <c r="X12" s="59"/>
      <c r="Y12" s="59"/>
      <c r="Z12" s="59"/>
      <c r="AA12" s="59"/>
      <c r="AB12" s="59"/>
      <c r="AC12" s="59"/>
      <c r="AD12" s="59"/>
    </row>
    <row r="13" spans="1:34" x14ac:dyDescent="0.25">
      <c r="B13" s="7" t="s">
        <v>247</v>
      </c>
      <c r="C13" t="s">
        <v>35</v>
      </c>
      <c r="F13" s="122">
        <v>0</v>
      </c>
      <c r="G13" s="19"/>
      <c r="H13" s="19">
        <v>0</v>
      </c>
      <c r="I13" s="19"/>
      <c r="J13" s="123">
        <v>0</v>
      </c>
      <c r="K13" s="19"/>
      <c r="L13" s="122">
        <v>0</v>
      </c>
      <c r="M13" s="19"/>
      <c r="N13" s="211">
        <f t="shared" ref="N13:N14" si="1">P13-J13</f>
        <v>0</v>
      </c>
      <c r="O13" s="19"/>
      <c r="P13" s="19">
        <f t="shared" si="0"/>
        <v>0</v>
      </c>
      <c r="Q13" s="239"/>
      <c r="R13" s="123">
        <v>0</v>
      </c>
      <c r="U13" s="399"/>
      <c r="W13" s="59"/>
      <c r="X13" s="59"/>
      <c r="Y13" s="59"/>
      <c r="Z13" s="59"/>
      <c r="AA13" s="59"/>
      <c r="AB13" s="59"/>
      <c r="AC13" s="59"/>
      <c r="AD13" s="59"/>
    </row>
    <row r="14" spans="1:34" x14ac:dyDescent="0.25">
      <c r="B14" s="7" t="s">
        <v>248</v>
      </c>
      <c r="C14" t="s">
        <v>36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v>0</v>
      </c>
      <c r="M14" s="19"/>
      <c r="N14" s="211">
        <f t="shared" si="1"/>
        <v>0</v>
      </c>
      <c r="O14" s="19"/>
      <c r="P14" s="19">
        <f t="shared" si="0"/>
        <v>0</v>
      </c>
      <c r="Q14" s="239"/>
      <c r="R14" s="123">
        <v>0</v>
      </c>
      <c r="U14" s="399"/>
      <c r="W14" s="59"/>
      <c r="X14" s="59"/>
      <c r="Y14" s="59"/>
      <c r="Z14" s="59"/>
      <c r="AA14" s="59"/>
      <c r="AB14" s="59"/>
      <c r="AC14" s="59"/>
      <c r="AD14" s="59"/>
    </row>
    <row r="15" spans="1:34" x14ac:dyDescent="0.25">
      <c r="B15" s="117">
        <v>5210</v>
      </c>
      <c r="C15" t="s">
        <v>70</v>
      </c>
      <c r="F15" s="131">
        <v>4244886</v>
      </c>
      <c r="G15" s="19"/>
      <c r="H15" s="132">
        <v>4926181</v>
      </c>
      <c r="I15" s="19"/>
      <c r="J15" s="133">
        <v>6455033</v>
      </c>
      <c r="K15" s="19"/>
      <c r="L15" s="131">
        <v>540000</v>
      </c>
      <c r="M15" s="19"/>
      <c r="N15" s="209">
        <v>540000</v>
      </c>
      <c r="O15" s="19"/>
      <c r="P15" s="132">
        <f t="shared" si="0"/>
        <v>-195000</v>
      </c>
      <c r="Q15" s="239"/>
      <c r="R15" s="133">
        <v>345000</v>
      </c>
      <c r="U15" s="399"/>
      <c r="W15" s="59"/>
      <c r="X15" s="59"/>
      <c r="Y15" s="59"/>
      <c r="Z15" s="59"/>
      <c r="AA15" s="59"/>
      <c r="AB15" s="59"/>
      <c r="AC15" s="59"/>
      <c r="AD15" s="59"/>
    </row>
    <row r="16" spans="1:34" x14ac:dyDescent="0.25">
      <c r="B16" s="7" t="s">
        <v>37</v>
      </c>
      <c r="F16" s="122">
        <f>SUM(F11:F15)</f>
        <v>4707038</v>
      </c>
      <c r="G16" s="19"/>
      <c r="H16" s="19">
        <f>SUM(H11:H15)</f>
        <v>5340185</v>
      </c>
      <c r="I16" s="19"/>
      <c r="J16" s="123">
        <f>SUM(J11:J15)</f>
        <v>7268910</v>
      </c>
      <c r="K16" s="19"/>
      <c r="L16" s="122">
        <f>SUM(L11:L15)</f>
        <v>826400</v>
      </c>
      <c r="M16" s="19"/>
      <c r="N16" s="211">
        <f>SUM(N11:N15)</f>
        <v>826400</v>
      </c>
      <c r="O16" s="19"/>
      <c r="P16" s="19">
        <f>SUM(P11:P15)</f>
        <v>-240537</v>
      </c>
      <c r="Q16" s="239"/>
      <c r="R16" s="123">
        <f>SUM(R11:R15)</f>
        <v>585863</v>
      </c>
      <c r="U16" s="399"/>
      <c r="W16" s="59"/>
      <c r="X16" s="59"/>
      <c r="Y16" s="59"/>
      <c r="Z16" s="59"/>
      <c r="AA16" s="59"/>
      <c r="AB16" s="59"/>
      <c r="AC16" s="59"/>
      <c r="AD16" s="59"/>
    </row>
    <row r="17" spans="2:53" x14ac:dyDescent="0.25">
      <c r="F17" s="122"/>
      <c r="G17" s="19"/>
      <c r="H17" s="19"/>
      <c r="I17" s="19"/>
      <c r="J17" s="123"/>
      <c r="K17" s="19"/>
      <c r="L17" s="122"/>
      <c r="M17" s="19"/>
      <c r="N17" s="211"/>
      <c r="O17" s="19"/>
      <c r="P17" s="19"/>
      <c r="Q17" s="239"/>
      <c r="R17" s="123"/>
      <c r="U17" s="399"/>
      <c r="W17" s="59"/>
      <c r="X17" s="59"/>
      <c r="Y17" s="59"/>
      <c r="Z17" s="59"/>
      <c r="AA17" s="59"/>
      <c r="AB17" s="59"/>
      <c r="AC17" s="59"/>
    </row>
    <row r="18" spans="2:53" x14ac:dyDescent="0.25">
      <c r="B18" s="7" t="s">
        <v>38</v>
      </c>
      <c r="F18" s="131">
        <f>F9+F16</f>
        <v>14266348</v>
      </c>
      <c r="G18" s="19"/>
      <c r="H18" s="132">
        <f>H9+H16</f>
        <v>19409412</v>
      </c>
      <c r="I18" s="19"/>
      <c r="J18" s="133">
        <f>J9+J16</f>
        <v>26141242</v>
      </c>
      <c r="K18" s="19"/>
      <c r="L18" s="131">
        <f>L9+L16</f>
        <v>18881176</v>
      </c>
      <c r="M18" s="19"/>
      <c r="N18" s="209">
        <f>N9+N16</f>
        <v>23812886</v>
      </c>
      <c r="O18" s="19"/>
      <c r="P18" s="132">
        <f>P9+P16</f>
        <v>1842573</v>
      </c>
      <c r="Q18" s="239"/>
      <c r="R18" s="133">
        <f>R9+R16</f>
        <v>20723749</v>
      </c>
      <c r="U18" s="399"/>
      <c r="W18" s="59"/>
      <c r="X18" s="59"/>
      <c r="Y18" s="59"/>
      <c r="Z18" s="59"/>
      <c r="AA18" s="59"/>
      <c r="AB18" s="59"/>
      <c r="AC18" s="59"/>
    </row>
    <row r="19" spans="2:53" x14ac:dyDescent="0.25">
      <c r="F19" s="122"/>
      <c r="G19" s="19"/>
      <c r="H19" s="126"/>
      <c r="I19" s="19"/>
      <c r="J19" s="127"/>
      <c r="K19" s="19"/>
      <c r="L19" s="122"/>
      <c r="M19" s="19"/>
      <c r="N19" s="210"/>
      <c r="O19" s="19"/>
      <c r="P19" s="126"/>
      <c r="Q19" s="239"/>
      <c r="R19" s="127"/>
      <c r="U19" s="399"/>
      <c r="W19" s="59"/>
      <c r="X19" s="59"/>
      <c r="Y19" s="59"/>
      <c r="Z19" s="59"/>
      <c r="AA19" s="59"/>
      <c r="AB19" s="59"/>
      <c r="AC19" s="59"/>
    </row>
    <row r="20" spans="2:53" x14ac:dyDescent="0.25">
      <c r="B20" s="7" t="s">
        <v>39</v>
      </c>
      <c r="F20" s="122"/>
      <c r="G20" s="19"/>
      <c r="H20" s="19"/>
      <c r="I20" s="19"/>
      <c r="J20" s="123"/>
      <c r="K20" s="19"/>
      <c r="L20" s="122"/>
      <c r="M20" s="19"/>
      <c r="N20" s="211"/>
      <c r="O20" s="19"/>
      <c r="P20" s="19"/>
      <c r="Q20" s="239"/>
      <c r="R20" s="123"/>
      <c r="U20" s="399"/>
      <c r="W20" s="5"/>
      <c r="X20" s="5"/>
      <c r="Y20" s="5"/>
      <c r="Z20" s="5"/>
      <c r="AA20" s="5"/>
      <c r="AB20" s="5"/>
      <c r="AC20" s="5"/>
    </row>
    <row r="21" spans="2:53" x14ac:dyDescent="0.25">
      <c r="B21" s="87" t="s">
        <v>204</v>
      </c>
      <c r="C21" t="s">
        <v>60</v>
      </c>
      <c r="F21" s="122">
        <v>0</v>
      </c>
      <c r="G21" s="19"/>
      <c r="H21" s="19">
        <v>0</v>
      </c>
      <c r="I21" s="19"/>
      <c r="J21" s="123">
        <v>0</v>
      </c>
      <c r="K21" s="19"/>
      <c r="L21" s="122">
        <v>0</v>
      </c>
      <c r="M21" s="19"/>
      <c r="N21" s="211">
        <v>0</v>
      </c>
      <c r="O21" s="19"/>
      <c r="P21" s="19">
        <f t="shared" ref="P21:P29" si="2">R21-L21</f>
        <v>0</v>
      </c>
      <c r="Q21" s="239"/>
      <c r="R21" s="123">
        <v>0</v>
      </c>
      <c r="U21" s="399"/>
      <c r="W21" s="5"/>
      <c r="X21" s="5"/>
      <c r="Y21" s="5"/>
      <c r="Z21" s="5"/>
      <c r="AA21" s="5"/>
      <c r="AB21" s="5"/>
      <c r="AC21" s="5"/>
    </row>
    <row r="22" spans="2:53" ht="16.5" thickBot="1" x14ac:dyDescent="0.3">
      <c r="B22" s="87" t="s">
        <v>196</v>
      </c>
      <c r="C22" t="s">
        <v>61</v>
      </c>
      <c r="F22" s="122">
        <v>0</v>
      </c>
      <c r="G22" s="19"/>
      <c r="H22" s="19">
        <v>0</v>
      </c>
      <c r="I22" s="19"/>
      <c r="J22" s="123">
        <v>0</v>
      </c>
      <c r="K22" s="19"/>
      <c r="L22" s="122">
        <v>0</v>
      </c>
      <c r="M22" s="19"/>
      <c r="N22" s="211">
        <v>0</v>
      </c>
      <c r="O22" s="19"/>
      <c r="P22" s="19">
        <f t="shared" si="2"/>
        <v>0</v>
      </c>
      <c r="Q22" s="239"/>
      <c r="R22" s="123">
        <v>0</v>
      </c>
      <c r="U22" s="399"/>
      <c r="W22" s="400" t="s">
        <v>378</v>
      </c>
      <c r="X22" s="400"/>
      <c r="Y22" s="400"/>
      <c r="Z22" s="400"/>
      <c r="AA22" s="400"/>
      <c r="AB22" s="400"/>
      <c r="AC22" s="400"/>
      <c r="AJ22" s="59"/>
      <c r="AK22" s="59"/>
      <c r="AL22" s="59"/>
      <c r="AM22" s="5"/>
      <c r="AN22" s="5"/>
      <c r="AO22" s="5"/>
      <c r="AP22" s="5"/>
      <c r="AU22" s="400" t="s">
        <v>173</v>
      </c>
      <c r="AV22" s="400"/>
      <c r="AW22" s="400"/>
      <c r="AX22" s="400"/>
      <c r="AY22" s="400"/>
      <c r="AZ22" s="400"/>
      <c r="BA22" s="400"/>
    </row>
    <row r="23" spans="2:53" ht="16.5" thickBot="1" x14ac:dyDescent="0.3">
      <c r="B23" s="87" t="s">
        <v>197</v>
      </c>
      <c r="C23" t="s">
        <v>62</v>
      </c>
      <c r="F23" s="122">
        <v>28130</v>
      </c>
      <c r="G23" s="19"/>
      <c r="H23" s="19">
        <v>28810</v>
      </c>
      <c r="I23" s="19"/>
      <c r="J23" s="123">
        <v>1597797</v>
      </c>
      <c r="K23" s="19"/>
      <c r="L23" s="122">
        <v>0</v>
      </c>
      <c r="M23" s="19"/>
      <c r="N23" s="211">
        <f>80000+80000</f>
        <v>160000</v>
      </c>
      <c r="O23" s="19"/>
      <c r="P23" s="19">
        <f t="shared" si="2"/>
        <v>160000</v>
      </c>
      <c r="Q23" s="239"/>
      <c r="R23" s="123">
        <f>80000+80000</f>
        <v>160000</v>
      </c>
      <c r="U23" s="399"/>
      <c r="W23" s="401" t="s">
        <v>273</v>
      </c>
      <c r="X23" s="401"/>
      <c r="Y23" s="401"/>
      <c r="Z23" s="401"/>
      <c r="AA23" s="401"/>
      <c r="AB23" s="401"/>
      <c r="AC23" s="401"/>
      <c r="AE23" s="70" t="e">
        <f>+#REF!</f>
        <v>#REF!</v>
      </c>
      <c r="AF23" s="70" t="e">
        <f>+#REF!</f>
        <v>#REF!</v>
      </c>
      <c r="AG23" s="70" t="e">
        <f>+#REF!</f>
        <v>#REF!</v>
      </c>
      <c r="AH23" s="70" t="e">
        <f>+#REF!</f>
        <v>#REF!</v>
      </c>
      <c r="AJ23" s="104"/>
      <c r="AK23" s="104"/>
      <c r="AL23" s="59"/>
      <c r="AM23" s="96"/>
      <c r="AN23" s="94"/>
      <c r="AO23" s="94"/>
      <c r="AP23" s="101" t="s">
        <v>238</v>
      </c>
      <c r="AQ23" s="103">
        <f>+BudgetAssump!$K$23+BudgetAssump!K16</f>
        <v>0.214</v>
      </c>
      <c r="AR23" s="90"/>
      <c r="AS23" s="98" t="s">
        <v>236</v>
      </c>
      <c r="AT23" s="98"/>
      <c r="AU23" s="401" t="s">
        <v>272</v>
      </c>
      <c r="AV23" s="401"/>
      <c r="AW23" s="401"/>
      <c r="AX23" s="401"/>
      <c r="AY23" s="401"/>
      <c r="AZ23" s="401"/>
      <c r="BA23" s="401"/>
    </row>
    <row r="24" spans="2:53" ht="15.75" thickBot="1" x14ac:dyDescent="0.3">
      <c r="B24" s="87" t="s">
        <v>198</v>
      </c>
      <c r="C24" t="s">
        <v>63</v>
      </c>
      <c r="F24" s="122">
        <v>9890</v>
      </c>
      <c r="G24" s="19"/>
      <c r="H24" s="19">
        <v>117977</v>
      </c>
      <c r="I24" s="19"/>
      <c r="J24" s="123">
        <v>0</v>
      </c>
      <c r="K24" s="19"/>
      <c r="L24" s="122">
        <v>0</v>
      </c>
      <c r="M24" s="19"/>
      <c r="N24" s="211">
        <v>0</v>
      </c>
      <c r="O24" s="19"/>
      <c r="P24" s="19">
        <f t="shared" si="2"/>
        <v>0</v>
      </c>
      <c r="Q24" s="239"/>
      <c r="R24" s="123">
        <v>0</v>
      </c>
      <c r="U24" s="399"/>
      <c r="V24" s="187" t="s">
        <v>233</v>
      </c>
      <c r="W24" s="188" t="s">
        <v>231</v>
      </c>
      <c r="X24" s="188" t="s">
        <v>231</v>
      </c>
      <c r="Y24" s="188" t="s">
        <v>231</v>
      </c>
      <c r="Z24" s="188" t="s">
        <v>231</v>
      </c>
      <c r="AA24" s="188" t="s">
        <v>231</v>
      </c>
      <c r="AB24" s="188" t="s">
        <v>231</v>
      </c>
      <c r="AC24" s="188" t="s">
        <v>231</v>
      </c>
      <c r="AD24" s="187" t="s">
        <v>233</v>
      </c>
      <c r="AE24" s="188" t="s">
        <v>232</v>
      </c>
      <c r="AF24" s="188" t="s">
        <v>232</v>
      </c>
      <c r="AG24" s="188" t="s">
        <v>232</v>
      </c>
      <c r="AH24" s="188" t="s">
        <v>232</v>
      </c>
      <c r="AJ24" s="59" t="s">
        <v>231</v>
      </c>
      <c r="AK24" s="59" t="s">
        <v>231</v>
      </c>
      <c r="AL24" s="59" t="s">
        <v>231</v>
      </c>
      <c r="AM24" s="96" t="s">
        <v>232</v>
      </c>
      <c r="AN24" s="96" t="s">
        <v>232</v>
      </c>
      <c r="AO24" s="96" t="s">
        <v>232</v>
      </c>
      <c r="AP24" s="90" t="s">
        <v>232</v>
      </c>
      <c r="AQ24" s="98" t="s">
        <v>232</v>
      </c>
      <c r="AR24" s="90" t="s">
        <v>232</v>
      </c>
      <c r="AS24" s="98" t="s">
        <v>232</v>
      </c>
      <c r="AT24" s="98"/>
      <c r="AU24" s="90" t="s">
        <v>231</v>
      </c>
      <c r="AV24" s="90" t="s">
        <v>231</v>
      </c>
      <c r="AW24" s="90" t="s">
        <v>231</v>
      </c>
      <c r="AX24" s="90" t="s">
        <v>231</v>
      </c>
      <c r="AY24" s="90" t="s">
        <v>231</v>
      </c>
      <c r="AZ24" s="90" t="s">
        <v>231</v>
      </c>
      <c r="BA24" s="59" t="s">
        <v>231</v>
      </c>
    </row>
    <row r="25" spans="2:53" ht="15.75" thickBot="1" x14ac:dyDescent="0.3">
      <c r="B25" s="87" t="s">
        <v>199</v>
      </c>
      <c r="C25" t="s">
        <v>49</v>
      </c>
      <c r="F25" s="122">
        <v>0</v>
      </c>
      <c r="G25" s="19"/>
      <c r="H25" s="19">
        <v>0</v>
      </c>
      <c r="I25" s="19"/>
      <c r="J25" s="123">
        <v>0</v>
      </c>
      <c r="K25" s="19"/>
      <c r="L25" s="122">
        <v>160000</v>
      </c>
      <c r="M25" s="19"/>
      <c r="N25" s="211">
        <v>0</v>
      </c>
      <c r="O25" s="19"/>
      <c r="P25" s="19">
        <f t="shared" si="2"/>
        <v>-160000</v>
      </c>
      <c r="Q25" s="239"/>
      <c r="R25" s="123">
        <v>0</v>
      </c>
      <c r="U25" s="399"/>
      <c r="W25" s="66" t="s">
        <v>144</v>
      </c>
      <c r="X25" s="69" t="s">
        <v>139</v>
      </c>
      <c r="Y25" s="67" t="s">
        <v>145</v>
      </c>
      <c r="Z25" s="69" t="s">
        <v>174</v>
      </c>
      <c r="AA25" s="67" t="s">
        <v>175</v>
      </c>
      <c r="AB25" s="69" t="s">
        <v>148</v>
      </c>
      <c r="AC25" s="68" t="s">
        <v>149</v>
      </c>
      <c r="AD25" s="68" t="s">
        <v>229</v>
      </c>
      <c r="AE25" s="70" t="e">
        <f>+#REF!</f>
        <v>#REF!</v>
      </c>
      <c r="AF25" s="70" t="e">
        <f>+#REF!</f>
        <v>#REF!</v>
      </c>
      <c r="AG25" s="70" t="e">
        <f>+#REF!</f>
        <v>#REF!</v>
      </c>
      <c r="AH25" s="70" t="e">
        <f>+#REF!</f>
        <v>#REF!</v>
      </c>
      <c r="AJ25" s="102" t="s">
        <v>138</v>
      </c>
      <c r="AK25" s="102" t="s">
        <v>150</v>
      </c>
      <c r="AL25" s="102" t="s">
        <v>235</v>
      </c>
      <c r="AM25" s="97" t="s">
        <v>140</v>
      </c>
      <c r="AN25" s="95" t="s">
        <v>141</v>
      </c>
      <c r="AO25" s="95" t="s">
        <v>142</v>
      </c>
      <c r="AP25" s="93" t="s">
        <v>143</v>
      </c>
      <c r="AQ25" s="99" t="s">
        <v>161</v>
      </c>
      <c r="AR25" s="93" t="s">
        <v>162</v>
      </c>
      <c r="AS25" s="99" t="s">
        <v>283</v>
      </c>
      <c r="AT25" s="99" t="s">
        <v>237</v>
      </c>
      <c r="AU25" s="58" t="s">
        <v>144</v>
      </c>
      <c r="AV25" s="58" t="s">
        <v>139</v>
      </c>
      <c r="AW25" s="58" t="s">
        <v>145</v>
      </c>
      <c r="AX25" s="58" t="s">
        <v>146</v>
      </c>
      <c r="AY25" s="58" t="s">
        <v>147</v>
      </c>
      <c r="AZ25" s="58" t="s">
        <v>148</v>
      </c>
      <c r="BA25" s="102" t="s">
        <v>149</v>
      </c>
    </row>
    <row r="26" spans="2:53" x14ac:dyDescent="0.25">
      <c r="B26" s="87" t="s">
        <v>200</v>
      </c>
      <c r="C26" t="s">
        <v>64</v>
      </c>
      <c r="F26" s="122">
        <v>0</v>
      </c>
      <c r="G26" s="19"/>
      <c r="H26" s="19">
        <v>0</v>
      </c>
      <c r="I26" s="19"/>
      <c r="J26" s="123">
        <v>0</v>
      </c>
      <c r="K26" s="19"/>
      <c r="L26" s="122">
        <v>0</v>
      </c>
      <c r="M26" s="19"/>
      <c r="N26" s="211">
        <v>0</v>
      </c>
      <c r="O26" s="19"/>
      <c r="P26" s="19">
        <f t="shared" si="2"/>
        <v>0</v>
      </c>
      <c r="Q26" s="239"/>
      <c r="R26" s="123">
        <v>0</v>
      </c>
      <c r="U26" s="399"/>
      <c r="W26" s="59"/>
      <c r="X26" s="59"/>
      <c r="Y26" s="59"/>
      <c r="Z26" s="59"/>
      <c r="AA26" s="59"/>
      <c r="AB26" s="59"/>
      <c r="AC26" s="59"/>
      <c r="AD26" s="59"/>
      <c r="AE26" s="90"/>
      <c r="AF26" s="90"/>
      <c r="AG26" s="90"/>
      <c r="AH26" s="91"/>
      <c r="AJ26" s="59"/>
      <c r="AK26" s="59"/>
      <c r="AL26" s="59"/>
      <c r="AM26" s="96"/>
      <c r="AN26" s="94"/>
      <c r="AO26" s="94"/>
      <c r="AP26" s="90"/>
      <c r="AQ26" s="98">
        <f>+AP26*AQ23</f>
        <v>0</v>
      </c>
      <c r="AR26" s="90"/>
      <c r="AS26" s="98">
        <f>AQ26+AR26</f>
        <v>0</v>
      </c>
      <c r="AT26" s="98">
        <f>+AS26+AP26</f>
        <v>0</v>
      </c>
      <c r="AU26" s="59"/>
      <c r="AV26" s="59"/>
      <c r="AW26" s="59"/>
      <c r="AX26" s="59"/>
      <c r="AY26" s="59"/>
      <c r="AZ26" s="59"/>
      <c r="BA26" s="59"/>
    </row>
    <row r="27" spans="2:53" x14ac:dyDescent="0.25">
      <c r="B27" s="87" t="s">
        <v>201</v>
      </c>
      <c r="C27" t="s">
        <v>65</v>
      </c>
      <c r="F27" s="122">
        <v>159101</v>
      </c>
      <c r="G27" s="19"/>
      <c r="H27" s="19">
        <v>390293</v>
      </c>
      <c r="I27" s="19"/>
      <c r="J27" s="123">
        <v>1556960</v>
      </c>
      <c r="K27" s="19"/>
      <c r="L27" s="122">
        <v>3515000</v>
      </c>
      <c r="M27" s="19"/>
      <c r="N27" s="211">
        <f>25000+2875000+300000+290000+25000</f>
        <v>3515000</v>
      </c>
      <c r="O27" s="19"/>
      <c r="P27" s="19">
        <f t="shared" si="2"/>
        <v>-1220000</v>
      </c>
      <c r="Q27" s="239"/>
      <c r="R27" s="123">
        <f>1795000+150000+25000+325000</f>
        <v>2295000</v>
      </c>
      <c r="U27" s="39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2"/>
      <c r="AJ27" s="59"/>
      <c r="AK27" s="59"/>
      <c r="AL27" s="59"/>
      <c r="AM27" s="96"/>
      <c r="AN27" s="94"/>
      <c r="AO27" s="94"/>
      <c r="AP27" s="90"/>
      <c r="AQ27" s="98"/>
      <c r="AR27" s="90"/>
      <c r="AS27" s="98">
        <f t="shared" ref="AS27:AS49" si="3">AQ27+AR27</f>
        <v>0</v>
      </c>
      <c r="AT27" s="98">
        <f t="shared" ref="AT27:AT49" si="4">+AS27+AP27</f>
        <v>0</v>
      </c>
      <c r="AU27" s="59"/>
      <c r="AV27" s="59"/>
      <c r="AW27" s="59"/>
      <c r="AX27" s="59"/>
      <c r="AY27" s="59"/>
      <c r="AZ27" s="59"/>
      <c r="BA27" s="59"/>
    </row>
    <row r="28" spans="2:53" x14ac:dyDescent="0.25">
      <c r="B28" s="87" t="s">
        <v>202</v>
      </c>
      <c r="C28" t="s">
        <v>66</v>
      </c>
      <c r="F28" s="122">
        <v>0</v>
      </c>
      <c r="G28" s="19"/>
      <c r="H28" s="19">
        <v>0</v>
      </c>
      <c r="I28" s="19"/>
      <c r="J28" s="123">
        <v>0</v>
      </c>
      <c r="K28" s="19"/>
      <c r="L28" s="122">
        <v>0</v>
      </c>
      <c r="M28" s="19"/>
      <c r="N28" s="211">
        <v>0</v>
      </c>
      <c r="O28" s="19"/>
      <c r="P28" s="19">
        <f t="shared" si="2"/>
        <v>0</v>
      </c>
      <c r="Q28" s="239"/>
      <c r="R28" s="123">
        <v>0</v>
      </c>
      <c r="U28" s="39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2"/>
      <c r="AJ28" s="59"/>
      <c r="AK28" s="59"/>
      <c r="AL28" s="59"/>
      <c r="AM28" s="96"/>
      <c r="AN28" s="94"/>
      <c r="AO28" s="94"/>
      <c r="AP28" s="90"/>
      <c r="AQ28" s="98"/>
      <c r="AR28" s="90"/>
      <c r="AS28" s="98">
        <f t="shared" si="3"/>
        <v>0</v>
      </c>
      <c r="AT28" s="98">
        <f t="shared" si="4"/>
        <v>0</v>
      </c>
      <c r="AU28" s="59"/>
      <c r="AV28" s="59"/>
      <c r="AW28" s="59"/>
      <c r="AX28" s="59"/>
      <c r="AY28" s="59"/>
      <c r="AZ28" s="59"/>
      <c r="BA28" s="59"/>
    </row>
    <row r="29" spans="2:53" x14ac:dyDescent="0.25">
      <c r="B29" s="87" t="s">
        <v>203</v>
      </c>
      <c r="C29" t="s">
        <v>67</v>
      </c>
      <c r="F29" s="131">
        <v>0</v>
      </c>
      <c r="G29" s="19"/>
      <c r="H29" s="132">
        <v>0</v>
      </c>
      <c r="I29" s="19"/>
      <c r="J29" s="133">
        <v>0</v>
      </c>
      <c r="K29" s="19"/>
      <c r="L29" s="131">
        <v>0</v>
      </c>
      <c r="M29" s="19"/>
      <c r="N29" s="209">
        <v>0</v>
      </c>
      <c r="O29" s="19"/>
      <c r="P29" s="132">
        <f t="shared" si="2"/>
        <v>0</v>
      </c>
      <c r="Q29" s="239"/>
      <c r="R29" s="133">
        <v>0</v>
      </c>
      <c r="U29" s="39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2"/>
      <c r="AJ29" s="59"/>
      <c r="AK29" s="59"/>
      <c r="AL29" s="59"/>
      <c r="AM29" s="96"/>
      <c r="AN29" s="94"/>
      <c r="AO29" s="94"/>
      <c r="AP29" s="90"/>
      <c r="AQ29" s="98"/>
      <c r="AR29" s="90"/>
      <c r="AS29" s="98">
        <f t="shared" si="3"/>
        <v>0</v>
      </c>
      <c r="AT29" s="98">
        <f t="shared" si="4"/>
        <v>0</v>
      </c>
      <c r="AU29" s="59"/>
      <c r="AV29" s="59"/>
      <c r="AW29" s="59"/>
      <c r="AX29" s="59"/>
      <c r="AY29" s="59"/>
      <c r="AZ29" s="59"/>
      <c r="BA29" s="59"/>
    </row>
    <row r="30" spans="2:53" x14ac:dyDescent="0.25">
      <c r="B30" s="7" t="s">
        <v>50</v>
      </c>
      <c r="F30" s="122">
        <f>SUM(F20:F29)</f>
        <v>197121</v>
      </c>
      <c r="G30" s="19"/>
      <c r="H30" s="19">
        <f>SUM(H20:H29)</f>
        <v>537080</v>
      </c>
      <c r="I30" s="19"/>
      <c r="J30" s="123">
        <f>SUM(J21:J29)</f>
        <v>3154757</v>
      </c>
      <c r="K30" s="19"/>
      <c r="L30" s="122">
        <f>SUM(L20:L29)</f>
        <v>3675000</v>
      </c>
      <c r="M30" s="19"/>
      <c r="N30" s="211">
        <f>SUM(N20:N29)</f>
        <v>3675000</v>
      </c>
      <c r="O30" s="19"/>
      <c r="P30" s="19">
        <f>SUM(P20:P29)</f>
        <v>-1220000</v>
      </c>
      <c r="Q30" s="239"/>
      <c r="R30" s="123">
        <f>SUM(R20:R29)</f>
        <v>2455000</v>
      </c>
      <c r="U30" s="39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2"/>
      <c r="AJ30" s="59"/>
      <c r="AK30" s="59"/>
      <c r="AL30" s="59"/>
      <c r="AM30" s="96"/>
      <c r="AN30" s="94"/>
      <c r="AO30" s="94"/>
      <c r="AP30" s="90"/>
      <c r="AQ30" s="98"/>
      <c r="AR30" s="90"/>
      <c r="AS30" s="98">
        <f t="shared" si="3"/>
        <v>0</v>
      </c>
      <c r="AT30" s="98">
        <f t="shared" si="4"/>
        <v>0</v>
      </c>
      <c r="AU30" s="59"/>
      <c r="AV30" s="59"/>
      <c r="AW30" s="59"/>
      <c r="AX30" s="59"/>
      <c r="AY30" s="59"/>
      <c r="AZ30" s="59"/>
      <c r="BA30" s="59"/>
    </row>
    <row r="31" spans="2:53" x14ac:dyDescent="0.25">
      <c r="F31" s="122"/>
      <c r="G31" s="19"/>
      <c r="H31" s="19"/>
      <c r="I31" s="19"/>
      <c r="J31" s="123"/>
      <c r="K31" s="19"/>
      <c r="L31" s="122"/>
      <c r="M31" s="19"/>
      <c r="N31" s="211"/>
      <c r="O31" s="19"/>
      <c r="P31" s="19"/>
      <c r="Q31" s="239"/>
      <c r="R31" s="123"/>
      <c r="U31" s="39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2"/>
      <c r="AJ31" s="59"/>
      <c r="AK31" s="59"/>
      <c r="AL31" s="59"/>
      <c r="AM31" s="96"/>
      <c r="AN31" s="94"/>
      <c r="AO31" s="94"/>
      <c r="AP31" s="90"/>
      <c r="AQ31" s="98"/>
      <c r="AR31" s="90"/>
      <c r="AS31" s="98">
        <f t="shared" si="3"/>
        <v>0</v>
      </c>
      <c r="AT31" s="98">
        <f t="shared" si="4"/>
        <v>0</v>
      </c>
      <c r="AU31" s="59"/>
      <c r="AV31" s="59"/>
      <c r="AW31" s="59"/>
      <c r="AX31" s="59"/>
      <c r="AY31" s="59"/>
      <c r="AZ31" s="59"/>
      <c r="BA31" s="59"/>
    </row>
    <row r="32" spans="2:53" ht="14.1" customHeight="1" thickBot="1" x14ac:dyDescent="0.3">
      <c r="D32" s="53" t="s">
        <v>193</v>
      </c>
      <c r="F32" s="134">
        <f>+F16-F30</f>
        <v>4509917</v>
      </c>
      <c r="G32" s="135"/>
      <c r="H32" s="135">
        <f>+H16-H30</f>
        <v>4803105</v>
      </c>
      <c r="I32" s="135"/>
      <c r="J32" s="136">
        <f>+J16-J30</f>
        <v>4114153</v>
      </c>
      <c r="K32" s="135"/>
      <c r="L32" s="134">
        <f>+L16-L30</f>
        <v>-2848600</v>
      </c>
      <c r="M32" s="135"/>
      <c r="N32" s="208">
        <f>+N16-N30</f>
        <v>-2848600</v>
      </c>
      <c r="O32" s="135"/>
      <c r="P32" s="135">
        <f>+P16-P30</f>
        <v>979463</v>
      </c>
      <c r="Q32" s="243"/>
      <c r="R32" s="136">
        <f>+R16-R30</f>
        <v>-1869137</v>
      </c>
      <c r="U32" s="39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2"/>
      <c r="AJ32" s="59"/>
      <c r="AK32" s="59"/>
      <c r="AL32" s="59"/>
      <c r="AM32" s="96"/>
      <c r="AN32" s="94"/>
      <c r="AO32" s="94"/>
      <c r="AP32" s="90"/>
      <c r="AQ32" s="98"/>
      <c r="AR32" s="90"/>
      <c r="AS32" s="98">
        <f t="shared" si="3"/>
        <v>0</v>
      </c>
      <c r="AT32" s="98">
        <f t="shared" si="4"/>
        <v>0</v>
      </c>
      <c r="AU32" s="59"/>
      <c r="AV32" s="59"/>
      <c r="AW32" s="59"/>
      <c r="AX32" s="59"/>
      <c r="AY32" s="59"/>
      <c r="AZ32" s="59"/>
      <c r="BA32" s="59"/>
    </row>
    <row r="33" spans="2:53" ht="15.75" thickTop="1" x14ac:dyDescent="0.25">
      <c r="B33" s="7" t="s">
        <v>53</v>
      </c>
      <c r="F33" s="122"/>
      <c r="G33" s="19"/>
      <c r="H33" s="19"/>
      <c r="I33" s="19"/>
      <c r="J33" s="123"/>
      <c r="K33" s="19"/>
      <c r="L33" s="122"/>
      <c r="M33" s="19"/>
      <c r="N33" s="211"/>
      <c r="O33" s="19"/>
      <c r="P33" s="19"/>
      <c r="Q33" s="239"/>
      <c r="R33" s="123"/>
      <c r="U33" s="39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2"/>
      <c r="AJ33" s="59"/>
      <c r="AK33" s="59"/>
      <c r="AL33" s="59"/>
      <c r="AM33" s="96"/>
      <c r="AN33" s="94"/>
      <c r="AO33" s="94"/>
      <c r="AP33" s="90"/>
      <c r="AQ33" s="98"/>
      <c r="AR33" s="90"/>
      <c r="AS33" s="98">
        <f t="shared" si="3"/>
        <v>0</v>
      </c>
      <c r="AT33" s="98">
        <f t="shared" si="4"/>
        <v>0</v>
      </c>
      <c r="AU33" s="59"/>
      <c r="AV33" s="59"/>
      <c r="AW33" s="59"/>
      <c r="AX33" s="59"/>
      <c r="AY33" s="59"/>
      <c r="AZ33" s="59"/>
      <c r="BA33" s="59"/>
    </row>
    <row r="34" spans="2:53" x14ac:dyDescent="0.25">
      <c r="C34" t="s">
        <v>211</v>
      </c>
      <c r="F34" s="131">
        <f>F9+F32</f>
        <v>14069227</v>
      </c>
      <c r="G34" s="19"/>
      <c r="H34" s="132">
        <f>H9+H32</f>
        <v>18872332</v>
      </c>
      <c r="I34" s="19"/>
      <c r="J34" s="133">
        <f>J9+J32</f>
        <v>22986485</v>
      </c>
      <c r="K34" s="19"/>
      <c r="L34" s="131">
        <f>L9+L16-L30</f>
        <v>15206176</v>
      </c>
      <c r="M34" s="19"/>
      <c r="N34" s="211">
        <f>N9+N16-N30</f>
        <v>20137886</v>
      </c>
      <c r="O34" s="19"/>
      <c r="P34" s="19">
        <f t="shared" ref="P34" si="5">R34-L34</f>
        <v>3062573</v>
      </c>
      <c r="Q34" s="239"/>
      <c r="R34" s="133">
        <f>R9+R16-R30</f>
        <v>18268749</v>
      </c>
      <c r="U34" s="39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2"/>
      <c r="AJ34" s="59"/>
      <c r="AK34" s="59"/>
      <c r="AL34" s="59"/>
      <c r="AM34" s="96"/>
      <c r="AN34" s="94"/>
      <c r="AO34" s="94"/>
      <c r="AP34" s="90"/>
      <c r="AQ34" s="98"/>
      <c r="AR34" s="90"/>
      <c r="AS34" s="98">
        <f t="shared" si="3"/>
        <v>0</v>
      </c>
      <c r="AT34" s="98">
        <f t="shared" si="4"/>
        <v>0</v>
      </c>
      <c r="AU34" s="59"/>
      <c r="AV34" s="59"/>
      <c r="AW34" s="59"/>
      <c r="AX34" s="59"/>
      <c r="AY34" s="59"/>
      <c r="AZ34" s="59"/>
      <c r="BA34" s="59"/>
    </row>
    <row r="35" spans="2:53" ht="15.75" thickBot="1" x14ac:dyDescent="0.3">
      <c r="B35" s="7" t="s">
        <v>137</v>
      </c>
      <c r="F35" s="137">
        <f>SUM(F33:F34)</f>
        <v>14069227</v>
      </c>
      <c r="G35" s="138"/>
      <c r="H35" s="138">
        <f>SUM(H33:H34)</f>
        <v>18872332</v>
      </c>
      <c r="I35" s="138"/>
      <c r="J35" s="140">
        <f>SUM(J33:J34)</f>
        <v>22986485</v>
      </c>
      <c r="K35" s="19"/>
      <c r="L35" s="137">
        <f>SUM(L33:L34)</f>
        <v>15206176</v>
      </c>
      <c r="M35" s="138"/>
      <c r="N35" s="218">
        <f>SUM(N33:N34)</f>
        <v>20137886</v>
      </c>
      <c r="O35" s="138"/>
      <c r="P35" s="145">
        <f>SUM(P33:P34)</f>
        <v>3062573</v>
      </c>
      <c r="Q35" s="239"/>
      <c r="R35" s="140">
        <f>SUM(R33:R34)</f>
        <v>18268749</v>
      </c>
      <c r="U35" s="39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2"/>
      <c r="AJ35" s="59"/>
      <c r="AK35" s="59"/>
      <c r="AL35" s="59"/>
      <c r="AM35" s="96"/>
      <c r="AN35" s="94"/>
      <c r="AO35" s="94"/>
      <c r="AP35" s="90"/>
      <c r="AQ35" s="98"/>
      <c r="AR35" s="90"/>
      <c r="AS35" s="98">
        <f t="shared" si="3"/>
        <v>0</v>
      </c>
      <c r="AT35" s="98">
        <f t="shared" si="4"/>
        <v>0</v>
      </c>
      <c r="AU35" s="59"/>
      <c r="AV35" s="59"/>
      <c r="AW35" s="59"/>
      <c r="AX35" s="59"/>
      <c r="AY35" s="59"/>
      <c r="AZ35" s="59"/>
      <c r="BA35" s="59"/>
    </row>
    <row r="36" spans="2:53" ht="15.75" thickBot="1" x14ac:dyDescent="0.3">
      <c r="F36" s="142"/>
      <c r="G36" s="142"/>
      <c r="H36" s="142"/>
      <c r="I36" s="142"/>
      <c r="J36" s="53"/>
      <c r="K36" s="19"/>
      <c r="L36" s="142"/>
      <c r="M36" s="142"/>
      <c r="N36" s="142"/>
      <c r="O36" s="142"/>
      <c r="P36" s="142"/>
      <c r="Q36" s="19"/>
      <c r="R36" s="142"/>
      <c r="U36" s="39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2"/>
      <c r="AJ36" s="59"/>
      <c r="AK36" s="59"/>
      <c r="AL36" s="59"/>
      <c r="AM36" s="96"/>
      <c r="AN36" s="94"/>
      <c r="AO36" s="94"/>
      <c r="AP36" s="90"/>
      <c r="AQ36" s="98"/>
      <c r="AR36" s="90"/>
      <c r="AS36" s="98">
        <f t="shared" si="3"/>
        <v>0</v>
      </c>
      <c r="AT36" s="98">
        <f t="shared" si="4"/>
        <v>0</v>
      </c>
      <c r="AU36" s="59"/>
      <c r="AV36" s="59"/>
      <c r="AW36" s="59"/>
      <c r="AX36" s="59"/>
      <c r="AY36" s="59"/>
      <c r="AZ36" s="59"/>
      <c r="BA36" s="59"/>
    </row>
    <row r="37" spans="2:53" ht="15.75" thickBot="1" x14ac:dyDescent="0.3">
      <c r="F37" s="142"/>
      <c r="G37" s="142"/>
      <c r="H37" s="142"/>
      <c r="I37" s="142"/>
      <c r="J37" s="53" t="s">
        <v>268</v>
      </c>
      <c r="K37" s="105"/>
      <c r="L37" s="147">
        <f>+L35+L30</f>
        <v>18881176</v>
      </c>
      <c r="M37" s="82"/>
      <c r="N37" s="82"/>
      <c r="O37" s="82"/>
      <c r="P37" s="82"/>
      <c r="Q37" s="105"/>
      <c r="R37" s="147">
        <f>+R35+R30</f>
        <v>20723749</v>
      </c>
      <c r="U37" s="399"/>
      <c r="W37" s="5"/>
      <c r="X37" s="5"/>
      <c r="Y37" s="5"/>
      <c r="Z37" s="5"/>
      <c r="AA37" s="5"/>
      <c r="AB37" s="5"/>
      <c r="AC37" s="5"/>
      <c r="AJ37" s="59"/>
      <c r="AK37" s="59"/>
      <c r="AL37" s="59"/>
      <c r="AM37" s="96"/>
      <c r="AN37" s="94"/>
      <c r="AO37" s="94"/>
      <c r="AP37" s="90"/>
      <c r="AQ37" s="98"/>
      <c r="AR37" s="90"/>
      <c r="AS37" s="98">
        <f t="shared" si="3"/>
        <v>0</v>
      </c>
      <c r="AT37" s="98">
        <f t="shared" si="4"/>
        <v>0</v>
      </c>
      <c r="AU37" s="59"/>
      <c r="AV37" s="59"/>
      <c r="AW37" s="59"/>
      <c r="AX37" s="59"/>
      <c r="AY37" s="59"/>
      <c r="AZ37" s="59"/>
      <c r="BA37" s="59"/>
    </row>
    <row r="38" spans="2:53" x14ac:dyDescent="0.25">
      <c r="F38" s="5"/>
      <c r="G38" s="5"/>
      <c r="H38" s="5"/>
      <c r="I38" s="5"/>
      <c r="J38" s="53"/>
      <c r="K38" s="5"/>
      <c r="L38" s="5"/>
      <c r="M38" s="5"/>
      <c r="N38" s="5"/>
      <c r="O38" s="5"/>
      <c r="P38" s="5"/>
      <c r="Q38" s="5"/>
      <c r="R38" s="5"/>
      <c r="U38" s="399"/>
      <c r="W38" s="5"/>
      <c r="X38" s="5"/>
      <c r="Y38" s="5"/>
      <c r="Z38" s="5"/>
      <c r="AA38" s="5"/>
      <c r="AB38" s="5"/>
      <c r="AC38" s="5"/>
      <c r="AJ38" s="59"/>
      <c r="AK38" s="59"/>
      <c r="AL38" s="59"/>
      <c r="AM38" s="96"/>
      <c r="AN38" s="94"/>
      <c r="AO38" s="94"/>
      <c r="AP38" s="90"/>
      <c r="AQ38" s="98"/>
      <c r="AR38" s="90"/>
      <c r="AS38" s="98">
        <f t="shared" si="3"/>
        <v>0</v>
      </c>
      <c r="AT38" s="98">
        <f t="shared" si="4"/>
        <v>0</v>
      </c>
      <c r="AU38" s="59"/>
      <c r="AV38" s="59"/>
      <c r="AW38" s="59"/>
      <c r="AX38" s="59"/>
      <c r="AY38" s="59"/>
      <c r="AZ38" s="59"/>
      <c r="BA38" s="59"/>
    </row>
    <row r="39" spans="2:53" x14ac:dyDescent="0.25">
      <c r="AJ39" s="59"/>
      <c r="AK39" s="59"/>
      <c r="AL39" s="59"/>
      <c r="AM39" s="96"/>
      <c r="AN39" s="94"/>
      <c r="AO39" s="94"/>
      <c r="AP39" s="90"/>
      <c r="AQ39" s="98"/>
      <c r="AR39" s="90"/>
      <c r="AS39" s="98">
        <f t="shared" si="3"/>
        <v>0</v>
      </c>
      <c r="AT39" s="98">
        <f t="shared" si="4"/>
        <v>0</v>
      </c>
      <c r="AU39" s="59"/>
      <c r="AV39" s="59"/>
      <c r="AW39" s="59"/>
      <c r="AX39" s="59"/>
      <c r="AY39" s="59"/>
      <c r="AZ39" s="59"/>
      <c r="BA39" s="59"/>
    </row>
    <row r="40" spans="2:53" x14ac:dyDescent="0.25">
      <c r="AJ40" s="59"/>
      <c r="AK40" s="59"/>
      <c r="AL40" s="59"/>
      <c r="AM40" s="96"/>
      <c r="AN40" s="94"/>
      <c r="AO40" s="94"/>
      <c r="AP40" s="90"/>
      <c r="AQ40" s="98"/>
      <c r="AR40" s="90"/>
      <c r="AS40" s="98">
        <f t="shared" si="3"/>
        <v>0</v>
      </c>
      <c r="AT40" s="98">
        <f t="shared" si="4"/>
        <v>0</v>
      </c>
      <c r="AU40" s="59"/>
      <c r="AV40" s="59"/>
      <c r="AW40" s="59"/>
      <c r="AX40" s="59"/>
      <c r="AY40" s="59"/>
      <c r="AZ40" s="59"/>
      <c r="BA40" s="59"/>
    </row>
    <row r="41" spans="2:53" x14ac:dyDescent="0.25">
      <c r="AJ41" s="59"/>
      <c r="AK41" s="59"/>
      <c r="AL41" s="59"/>
      <c r="AM41" s="96"/>
      <c r="AN41" s="94"/>
      <c r="AO41" s="94"/>
      <c r="AP41" s="90"/>
      <c r="AQ41" s="98"/>
      <c r="AR41" s="90"/>
      <c r="AS41" s="98">
        <f t="shared" si="3"/>
        <v>0</v>
      </c>
      <c r="AT41" s="98">
        <f t="shared" si="4"/>
        <v>0</v>
      </c>
      <c r="AU41" s="59"/>
      <c r="AV41" s="59"/>
      <c r="AW41" s="59"/>
      <c r="AX41" s="59"/>
      <c r="AY41" s="59"/>
      <c r="AZ41" s="59"/>
      <c r="BA41" s="59"/>
    </row>
    <row r="42" spans="2:53" x14ac:dyDescent="0.25">
      <c r="AJ42" s="59"/>
      <c r="AK42" s="59"/>
      <c r="AL42" s="59"/>
      <c r="AM42" s="96"/>
      <c r="AN42" s="94"/>
      <c r="AO42" s="94"/>
      <c r="AP42" s="90"/>
      <c r="AQ42" s="98"/>
      <c r="AR42" s="90"/>
      <c r="AS42" s="98">
        <f t="shared" si="3"/>
        <v>0</v>
      </c>
      <c r="AT42" s="98">
        <f t="shared" si="4"/>
        <v>0</v>
      </c>
      <c r="AU42" s="59"/>
      <c r="AV42" s="59"/>
      <c r="AW42" s="59"/>
      <c r="AX42" s="59"/>
      <c r="AY42" s="59"/>
      <c r="AZ42" s="59"/>
      <c r="BA42" s="59"/>
    </row>
    <row r="43" spans="2:53" x14ac:dyDescent="0.25">
      <c r="AJ43" s="59"/>
      <c r="AK43" s="59"/>
      <c r="AL43" s="59"/>
      <c r="AM43" s="96"/>
      <c r="AN43" s="94"/>
      <c r="AO43" s="94"/>
      <c r="AP43" s="90"/>
      <c r="AQ43" s="98"/>
      <c r="AR43" s="90"/>
      <c r="AS43" s="98">
        <f t="shared" si="3"/>
        <v>0</v>
      </c>
      <c r="AT43" s="98">
        <f t="shared" si="4"/>
        <v>0</v>
      </c>
      <c r="AU43" s="59"/>
      <c r="AV43" s="59"/>
      <c r="AW43" s="59"/>
      <c r="AX43" s="59"/>
      <c r="AY43" s="59"/>
      <c r="AZ43" s="59"/>
      <c r="BA43" s="59"/>
    </row>
    <row r="44" spans="2:53" ht="15.75" thickBot="1" x14ac:dyDescent="0.3">
      <c r="X44" s="186" t="s">
        <v>301</v>
      </c>
      <c r="Y44" s="186"/>
      <c r="Z44" s="186"/>
      <c r="AA44" s="186"/>
      <c r="AJ44" s="59"/>
      <c r="AK44" s="59"/>
      <c r="AL44" s="59"/>
      <c r="AM44" s="96"/>
      <c r="AN44" s="94"/>
      <c r="AO44" s="94"/>
      <c r="AP44" s="90"/>
      <c r="AQ44" s="98"/>
      <c r="AR44" s="90"/>
      <c r="AS44" s="98">
        <f t="shared" si="3"/>
        <v>0</v>
      </c>
      <c r="AT44" s="98">
        <f t="shared" si="4"/>
        <v>0</v>
      </c>
      <c r="AU44" s="59"/>
      <c r="AV44" s="59"/>
      <c r="AW44" s="59"/>
      <c r="AX44" s="59"/>
      <c r="AY44" s="59"/>
      <c r="AZ44" s="59"/>
      <c r="BA44" s="59"/>
    </row>
    <row r="45" spans="2:53" ht="15.75" thickBot="1" x14ac:dyDescent="0.3">
      <c r="W45" s="112" t="s">
        <v>369</v>
      </c>
      <c r="X45" s="112" t="s">
        <v>292</v>
      </c>
      <c r="Y45" s="112" t="s">
        <v>277</v>
      </c>
      <c r="Z45" s="112" t="s">
        <v>356</v>
      </c>
      <c r="AA45" s="112" t="s">
        <v>127</v>
      </c>
      <c r="AB45" s="112" t="s">
        <v>276</v>
      </c>
      <c r="AC45" s="112" t="s">
        <v>278</v>
      </c>
      <c r="AD45" s="183" t="s">
        <v>364</v>
      </c>
      <c r="AE45" s="183"/>
      <c r="AJ45" s="59"/>
      <c r="AK45" s="59"/>
      <c r="AL45" s="59"/>
      <c r="AM45" s="96"/>
      <c r="AN45" s="94"/>
      <c r="AO45" s="94"/>
      <c r="AP45" s="90"/>
      <c r="AQ45" s="98"/>
      <c r="AR45" s="90"/>
      <c r="AS45" s="98">
        <f t="shared" si="3"/>
        <v>0</v>
      </c>
      <c r="AT45" s="98">
        <f t="shared" si="4"/>
        <v>0</v>
      </c>
      <c r="AU45" s="59"/>
      <c r="AV45" s="59"/>
      <c r="AW45" s="59"/>
      <c r="AX45" s="59"/>
      <c r="AY45" s="59"/>
      <c r="AZ45" s="59"/>
      <c r="BA45" s="59"/>
    </row>
    <row r="46" spans="2:53" x14ac:dyDescent="0.25">
      <c r="AJ46" s="59"/>
      <c r="AK46" s="59"/>
      <c r="AL46" s="59"/>
      <c r="AM46" s="96"/>
      <c r="AN46" s="94"/>
      <c r="AO46" s="94"/>
      <c r="AP46" s="90"/>
      <c r="AQ46" s="98"/>
      <c r="AR46" s="90"/>
      <c r="AS46" s="98">
        <f t="shared" ref="AS46:AS48" si="6">AQ46+AR46</f>
        <v>0</v>
      </c>
      <c r="AT46" s="98">
        <f t="shared" ref="AT46:AT48" si="7">+AS46+AP46</f>
        <v>0</v>
      </c>
      <c r="AU46" s="59"/>
      <c r="AV46" s="59"/>
      <c r="AW46" s="59"/>
      <c r="AX46" s="59"/>
      <c r="AY46" s="59"/>
      <c r="AZ46" s="59"/>
      <c r="BA46" s="59"/>
    </row>
    <row r="47" spans="2:53" x14ac:dyDescent="0.25">
      <c r="AJ47" s="59"/>
      <c r="AK47" s="59"/>
      <c r="AL47" s="59"/>
      <c r="AM47" s="96"/>
      <c r="AN47" s="94"/>
      <c r="AO47" s="94"/>
      <c r="AP47" s="90"/>
      <c r="AQ47" s="98"/>
      <c r="AR47" s="90"/>
      <c r="AS47" s="98">
        <f t="shared" ref="AS47" si="8">AQ47+AR47</f>
        <v>0</v>
      </c>
      <c r="AT47" s="98">
        <f t="shared" ref="AT47" si="9">+AS47+AP47</f>
        <v>0</v>
      </c>
      <c r="AU47" s="59"/>
      <c r="AV47" s="59"/>
      <c r="AW47" s="59"/>
      <c r="AX47" s="59"/>
      <c r="AY47" s="59"/>
      <c r="AZ47" s="59"/>
      <c r="BA47" s="59"/>
    </row>
    <row r="48" spans="2:53" x14ac:dyDescent="0.25">
      <c r="AL48" s="59"/>
      <c r="AM48" s="96"/>
      <c r="AN48" s="94"/>
      <c r="AO48" s="94"/>
      <c r="AP48" s="90"/>
      <c r="AQ48" s="98"/>
      <c r="AR48" s="90"/>
      <c r="AS48" s="98">
        <f t="shared" si="6"/>
        <v>0</v>
      </c>
      <c r="AT48" s="98">
        <f t="shared" si="7"/>
        <v>0</v>
      </c>
    </row>
    <row r="49" spans="38:46" x14ac:dyDescent="0.25">
      <c r="AL49" s="59"/>
      <c r="AM49" s="96"/>
      <c r="AN49" s="94"/>
      <c r="AO49" s="94"/>
      <c r="AP49" s="90"/>
      <c r="AQ49" s="98"/>
      <c r="AR49" s="90"/>
      <c r="AS49" s="98">
        <f t="shared" si="3"/>
        <v>0</v>
      </c>
      <c r="AT49" s="98">
        <f t="shared" si="4"/>
        <v>0</v>
      </c>
    </row>
    <row r="50" spans="38:46" x14ac:dyDescent="0.25">
      <c r="AL50" s="51" t="s">
        <v>239</v>
      </c>
      <c r="AM50" s="113">
        <f>SUM(AM26:AM49)</f>
        <v>0</v>
      </c>
      <c r="AN50" s="114"/>
      <c r="AO50" s="114"/>
      <c r="AP50" s="115">
        <f>SUM(AP26:AP49)</f>
        <v>0</v>
      </c>
      <c r="AQ50" s="115">
        <f>SUM(AQ26:AQ49)</f>
        <v>0</v>
      </c>
      <c r="AR50" s="115">
        <f>SUM(AR26:AR49)</f>
        <v>0</v>
      </c>
      <c r="AS50" s="115">
        <f>SUM(AS26:AS49)</f>
        <v>0</v>
      </c>
      <c r="AT50" s="115">
        <f>SUM(AT26:AT49)</f>
        <v>0</v>
      </c>
    </row>
  </sheetData>
  <mergeCells count="7">
    <mergeCell ref="U1:U38"/>
    <mergeCell ref="W22:AC22"/>
    <mergeCell ref="AU22:BA22"/>
    <mergeCell ref="W23:AC23"/>
    <mergeCell ref="AU23:BA23"/>
    <mergeCell ref="W3:AC3"/>
    <mergeCell ref="W4:AC4"/>
  </mergeCells>
  <pageMargins left="0.27" right="0.25" top="0.43" bottom="0.4" header="0.3" footer="0.17"/>
  <pageSetup scale="73" orientation="portrait" r:id="rId1"/>
  <headerFooter>
    <oddFooter>&amp;L&amp;D &amp;F&amp;C30
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BAF9-518A-4F55-BD30-47237E48FE55}">
  <sheetPr>
    <pageSetUpPr fitToPage="1"/>
  </sheetPr>
  <dimension ref="A1:BA50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6.4257812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4.42578125" hidden="1" customWidth="1"/>
    <col min="31" max="31" width="18" hidden="1" customWidth="1"/>
    <col min="32" max="32" width="19.42578125" hidden="1" customWidth="1"/>
    <col min="33" max="33" width="17.42578125" hidden="1" customWidth="1"/>
    <col min="34" max="34" width="16.140625" hidden="1" customWidth="1"/>
    <col min="35" max="36" width="0" hidden="1" customWidth="1"/>
    <col min="37" max="37" width="13.85546875" hidden="1" customWidth="1"/>
    <col min="38" max="42" width="0" hidden="1" customWidth="1"/>
    <col min="43" max="43" width="12.42578125" hidden="1" customWidth="1"/>
    <col min="44" max="44" width="10" hidden="1" customWidth="1"/>
    <col min="45" max="45" width="20.42578125" hidden="1" customWidth="1"/>
    <col min="46" max="46" width="18.140625" hidden="1" customWidth="1"/>
    <col min="47" max="52" width="0" hidden="1" customWidth="1"/>
    <col min="53" max="53" width="12.85546875" hidden="1" customWidth="1"/>
    <col min="54" max="54" width="0" hidden="1" customWidth="1"/>
  </cols>
  <sheetData>
    <row r="1" spans="1:34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34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</row>
    <row r="3" spans="1:34" ht="16.5" thickBot="1" x14ac:dyDescent="0.3">
      <c r="A3" s="4" t="s">
        <v>422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400" t="s">
        <v>379</v>
      </c>
      <c r="X3" s="400"/>
      <c r="Y3" s="400"/>
      <c r="Z3" s="400"/>
      <c r="AA3" s="400"/>
      <c r="AB3" s="400"/>
      <c r="AC3" s="400"/>
    </row>
    <row r="4" spans="1:34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401" t="s">
        <v>273</v>
      </c>
      <c r="X4" s="401"/>
      <c r="Y4" s="401"/>
      <c r="Z4" s="401"/>
      <c r="AA4" s="401"/>
      <c r="AB4" s="401"/>
      <c r="AC4" s="401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</row>
    <row r="5" spans="1:34" ht="15.7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222"/>
      <c r="L5" s="219" t="str">
        <f>'GF Summary 10'!L6</f>
        <v>Budget</v>
      </c>
      <c r="M5" s="220"/>
      <c r="N5" s="220" t="str">
        <f>'GF Summary 10'!N6</f>
        <v>Forecast</v>
      </c>
      <c r="O5" s="220">
        <f>'GF Summary 10'!O6</f>
        <v>0</v>
      </c>
      <c r="P5" s="220" t="str">
        <f>'Activity 23'!P5</f>
        <v>FY25 Budget v</v>
      </c>
      <c r="Q5" s="245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</row>
    <row r="6" spans="1:34" ht="15.75" thickBot="1" x14ac:dyDescent="0.3">
      <c r="F6" s="223" t="str">
        <f>'GF Summary 10'!$F$7</f>
        <v>FY 22-23</v>
      </c>
      <c r="G6" s="224"/>
      <c r="H6" s="225" t="str">
        <f>'GF Summary 10'!$H$7</f>
        <v>FY 23-24</v>
      </c>
      <c r="I6" s="225"/>
      <c r="J6" s="226" t="str">
        <f>'GF Summary 10'!$J$7</f>
        <v>FY 24-25</v>
      </c>
      <c r="K6" s="222"/>
      <c r="L6" s="223" t="str">
        <f>'GF Summary 10'!L7</f>
        <v>FY 25-26</v>
      </c>
      <c r="M6" s="225"/>
      <c r="N6" s="225" t="str">
        <f>'GF Summary 10'!N7</f>
        <v>FY 25-26</v>
      </c>
      <c r="O6" s="225">
        <f>'GF Summary 10'!O7</f>
        <v>0</v>
      </c>
      <c r="P6" s="228" t="str">
        <f>'Activity 23'!P6</f>
        <v>FY 26 Budget</v>
      </c>
      <c r="Q6" s="245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70" t="e">
        <f>+#REF!</f>
        <v>#REF!</v>
      </c>
      <c r="AF6" s="70" t="e">
        <f>+#REF!</f>
        <v>#REF!</v>
      </c>
      <c r="AG6" s="70" t="e">
        <f>+#REF!</f>
        <v>#REF!</v>
      </c>
      <c r="AH6" s="70" t="e">
        <f>+#REF!</f>
        <v>#REF!</v>
      </c>
    </row>
    <row r="7" spans="1:34" x14ac:dyDescent="0.25">
      <c r="B7" s="7" t="s">
        <v>29</v>
      </c>
      <c r="F7" s="371"/>
      <c r="G7" s="217"/>
      <c r="H7" s="217"/>
      <c r="I7" s="217"/>
      <c r="J7" s="372"/>
      <c r="K7" s="211"/>
      <c r="L7" s="371"/>
      <c r="M7" s="217"/>
      <c r="N7" s="217"/>
      <c r="O7" s="217"/>
      <c r="P7" s="217"/>
      <c r="Q7" s="375"/>
      <c r="R7" s="372"/>
      <c r="S7" s="5"/>
      <c r="U7" s="399"/>
      <c r="W7" s="59" t="s">
        <v>369</v>
      </c>
      <c r="X7" s="59" t="s">
        <v>276</v>
      </c>
      <c r="Y7" s="59" t="s">
        <v>277</v>
      </c>
      <c r="Z7" s="59" t="s">
        <v>278</v>
      </c>
      <c r="AA7" s="59" t="s">
        <v>384</v>
      </c>
      <c r="AB7" s="59" t="s">
        <v>276</v>
      </c>
      <c r="AC7" s="59" t="s">
        <v>278</v>
      </c>
      <c r="AD7" s="59" t="s">
        <v>252</v>
      </c>
    </row>
    <row r="8" spans="1:34" x14ac:dyDescent="0.25">
      <c r="C8" t="s">
        <v>211</v>
      </c>
      <c r="F8" s="122">
        <v>967808</v>
      </c>
      <c r="G8" s="19"/>
      <c r="H8" s="19">
        <v>1002765</v>
      </c>
      <c r="I8" s="19"/>
      <c r="J8" s="123">
        <v>1047518</v>
      </c>
      <c r="K8" s="19"/>
      <c r="L8" s="122">
        <v>1047518</v>
      </c>
      <c r="M8" s="19"/>
      <c r="N8" s="19">
        <v>1101495</v>
      </c>
      <c r="O8" s="19"/>
      <c r="P8" s="19">
        <f>R8-L8</f>
        <v>53977</v>
      </c>
      <c r="Q8" s="239"/>
      <c r="R8" s="123">
        <v>1101495</v>
      </c>
      <c r="S8" s="5"/>
      <c r="U8" s="399"/>
      <c r="W8" s="59" t="s">
        <v>369</v>
      </c>
      <c r="X8" s="59" t="s">
        <v>276</v>
      </c>
      <c r="Y8" s="59" t="s">
        <v>277</v>
      </c>
      <c r="Z8" s="59" t="s">
        <v>278</v>
      </c>
      <c r="AA8" s="59" t="s">
        <v>385</v>
      </c>
      <c r="AB8" s="59" t="s">
        <v>276</v>
      </c>
      <c r="AC8" s="59" t="s">
        <v>278</v>
      </c>
      <c r="AD8" s="59" t="s">
        <v>408</v>
      </c>
    </row>
    <row r="9" spans="1:34" x14ac:dyDescent="0.25">
      <c r="B9" s="7" t="s">
        <v>31</v>
      </c>
      <c r="F9" s="124">
        <f>SUM(F8:F8)</f>
        <v>967808</v>
      </c>
      <c r="G9" s="128"/>
      <c r="H9" s="126">
        <f>SUM(H8:H8)</f>
        <v>1002765</v>
      </c>
      <c r="I9" s="128"/>
      <c r="J9" s="127">
        <f>SUM(J8:J8)</f>
        <v>1047518</v>
      </c>
      <c r="K9" s="19"/>
      <c r="L9" s="124">
        <f>SUM(L8:L8)</f>
        <v>1047518</v>
      </c>
      <c r="M9" s="128"/>
      <c r="N9" s="126">
        <f>SUM(N8:N8)</f>
        <v>1101495</v>
      </c>
      <c r="O9" s="128"/>
      <c r="P9" s="126">
        <f>SUM(P8:P8)</f>
        <v>53977</v>
      </c>
      <c r="Q9" s="239"/>
      <c r="R9" s="127">
        <f>SUM(R8:R8)</f>
        <v>1101495</v>
      </c>
      <c r="S9" s="5"/>
      <c r="U9" s="399"/>
      <c r="W9" s="59" t="s">
        <v>369</v>
      </c>
      <c r="X9" s="59" t="s">
        <v>276</v>
      </c>
      <c r="Y9" s="59" t="s">
        <v>277</v>
      </c>
      <c r="Z9" s="59" t="s">
        <v>278</v>
      </c>
      <c r="AA9" s="59" t="s">
        <v>407</v>
      </c>
      <c r="AB9" s="59" t="s">
        <v>276</v>
      </c>
      <c r="AC9" s="59" t="s">
        <v>278</v>
      </c>
      <c r="AD9" s="59" t="s">
        <v>409</v>
      </c>
    </row>
    <row r="10" spans="1:34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399"/>
      <c r="W10" s="59" t="s">
        <v>369</v>
      </c>
      <c r="X10" s="59" t="s">
        <v>276</v>
      </c>
      <c r="Y10" s="59" t="s">
        <v>277</v>
      </c>
      <c r="Z10" s="59" t="s">
        <v>278</v>
      </c>
      <c r="AA10" s="59" t="s">
        <v>290</v>
      </c>
      <c r="AB10" s="59" t="s">
        <v>276</v>
      </c>
      <c r="AC10" s="59" t="s">
        <v>278</v>
      </c>
      <c r="AD10" s="172" t="s">
        <v>410</v>
      </c>
    </row>
    <row r="11" spans="1:34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D11" s="59"/>
    </row>
    <row r="12" spans="1:34" x14ac:dyDescent="0.25">
      <c r="B12" s="7" t="s">
        <v>246</v>
      </c>
      <c r="C12" t="s">
        <v>33</v>
      </c>
      <c r="F12" s="122">
        <v>21439</v>
      </c>
      <c r="G12" s="19"/>
      <c r="H12" s="19">
        <v>31235</v>
      </c>
      <c r="I12" s="19"/>
      <c r="J12" s="123">
        <v>28582</v>
      </c>
      <c r="K12" s="19"/>
      <c r="L12" s="122">
        <v>25145</v>
      </c>
      <c r="M12" s="19"/>
      <c r="N12" s="19">
        <v>25145</v>
      </c>
      <c r="O12" s="19"/>
      <c r="P12" s="19">
        <f t="shared" ref="P12:P15" si="0">R12-L12</f>
        <v>866</v>
      </c>
      <c r="Q12" s="239"/>
      <c r="R12" s="123">
        <v>26011</v>
      </c>
      <c r="U12" s="399"/>
      <c r="W12" s="59"/>
      <c r="X12" s="59"/>
      <c r="Y12" s="59"/>
      <c r="Z12" s="59"/>
      <c r="AA12" s="59"/>
      <c r="AB12" s="59"/>
      <c r="AC12" s="59"/>
      <c r="AD12" s="59"/>
    </row>
    <row r="13" spans="1:34" x14ac:dyDescent="0.25">
      <c r="B13" s="7" t="s">
        <v>423</v>
      </c>
      <c r="C13" t="s">
        <v>34</v>
      </c>
      <c r="F13" s="122">
        <v>13518</v>
      </c>
      <c r="G13" s="19"/>
      <c r="H13" s="19">
        <v>13518</v>
      </c>
      <c r="I13" s="19"/>
      <c r="J13" s="123">
        <v>25395</v>
      </c>
      <c r="K13" s="19"/>
      <c r="L13" s="122">
        <v>9012</v>
      </c>
      <c r="M13" s="19"/>
      <c r="N13" s="19">
        <v>9012</v>
      </c>
      <c r="O13" s="19"/>
      <c r="P13" s="19">
        <f t="shared" si="0"/>
        <v>13518</v>
      </c>
      <c r="Q13" s="239"/>
      <c r="R13" s="123">
        <v>22530</v>
      </c>
      <c r="U13" s="399"/>
      <c r="W13" s="59"/>
      <c r="X13" s="59"/>
      <c r="Y13" s="59"/>
      <c r="Z13" s="59"/>
      <c r="AA13" s="59"/>
      <c r="AB13" s="59"/>
      <c r="AC13" s="59"/>
      <c r="AD13" s="59"/>
    </row>
    <row r="14" spans="1:34" x14ac:dyDescent="0.25">
      <c r="B14" s="7" t="s">
        <v>248</v>
      </c>
      <c r="C14" t="s">
        <v>36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v>0</v>
      </c>
      <c r="M14" s="19"/>
      <c r="N14" s="19">
        <f t="shared" ref="N14:N15" si="1">P14-J14</f>
        <v>0</v>
      </c>
      <c r="O14" s="19"/>
      <c r="P14" s="19">
        <f t="shared" si="0"/>
        <v>0</v>
      </c>
      <c r="Q14" s="239"/>
      <c r="R14" s="123">
        <v>0</v>
      </c>
      <c r="U14" s="399"/>
      <c r="W14" s="59"/>
      <c r="X14" s="59"/>
      <c r="Y14" s="59"/>
      <c r="Z14" s="59"/>
      <c r="AA14" s="59"/>
      <c r="AB14" s="59"/>
      <c r="AC14" s="59"/>
      <c r="AD14" s="59"/>
    </row>
    <row r="15" spans="1:34" x14ac:dyDescent="0.25">
      <c r="B15" s="117">
        <v>5210</v>
      </c>
      <c r="C15" t="s">
        <v>70</v>
      </c>
      <c r="F15" s="131">
        <v>0</v>
      </c>
      <c r="G15" s="19"/>
      <c r="H15" s="132">
        <v>0</v>
      </c>
      <c r="I15" s="19"/>
      <c r="J15" s="133">
        <v>0</v>
      </c>
      <c r="K15" s="19"/>
      <c r="L15" s="131">
        <v>0</v>
      </c>
      <c r="M15" s="19"/>
      <c r="N15" s="132">
        <f t="shared" si="1"/>
        <v>0</v>
      </c>
      <c r="O15" s="19"/>
      <c r="P15" s="132">
        <f t="shared" si="0"/>
        <v>0</v>
      </c>
      <c r="Q15" s="239"/>
      <c r="R15" s="133">
        <v>0</v>
      </c>
      <c r="U15" s="399"/>
      <c r="W15" s="59"/>
      <c r="X15" s="59"/>
      <c r="Y15" s="59"/>
      <c r="Z15" s="59"/>
      <c r="AA15" s="59"/>
      <c r="AB15" s="59"/>
      <c r="AC15" s="59"/>
      <c r="AD15" s="59"/>
    </row>
    <row r="16" spans="1:34" x14ac:dyDescent="0.25">
      <c r="B16" s="7" t="s">
        <v>37</v>
      </c>
      <c r="F16" s="122">
        <f>SUM(F11:F15)</f>
        <v>34957</v>
      </c>
      <c r="G16" s="19"/>
      <c r="H16" s="19">
        <f>SUM(H11:H15)</f>
        <v>44753</v>
      </c>
      <c r="I16" s="19"/>
      <c r="J16" s="123">
        <f>SUM(J11:J15)</f>
        <v>53977</v>
      </c>
      <c r="K16" s="19"/>
      <c r="L16" s="122">
        <f>SUM(L11:L15)</f>
        <v>34157</v>
      </c>
      <c r="M16" s="19"/>
      <c r="N16" s="19">
        <f>SUM(N11:N15)</f>
        <v>34157</v>
      </c>
      <c r="O16" s="19"/>
      <c r="P16" s="19">
        <f>SUM(P11:P15)</f>
        <v>14384</v>
      </c>
      <c r="Q16" s="239"/>
      <c r="R16" s="123">
        <f>SUM(R11:R15)</f>
        <v>48541</v>
      </c>
      <c r="U16" s="399"/>
      <c r="W16" s="59"/>
      <c r="X16" s="59"/>
      <c r="Y16" s="59"/>
      <c r="Z16" s="59"/>
      <c r="AA16" s="59"/>
      <c r="AB16" s="59"/>
      <c r="AC16" s="59"/>
      <c r="AD16" s="59"/>
    </row>
    <row r="17" spans="2:53" x14ac:dyDescent="0.25">
      <c r="F17" s="122"/>
      <c r="G17" s="19"/>
      <c r="H17" s="19"/>
      <c r="I17" s="19"/>
      <c r="J17" s="123"/>
      <c r="K17" s="19"/>
      <c r="L17" s="122"/>
      <c r="M17" s="19"/>
      <c r="N17" s="19"/>
      <c r="O17" s="19"/>
      <c r="P17" s="19"/>
      <c r="Q17" s="239"/>
      <c r="R17" s="123"/>
      <c r="U17" s="399"/>
      <c r="W17" s="59"/>
      <c r="X17" s="59"/>
      <c r="Y17" s="59"/>
      <c r="Z17" s="59"/>
      <c r="AA17" s="59"/>
      <c r="AB17" s="59"/>
      <c r="AC17" s="59"/>
    </row>
    <row r="18" spans="2:53" x14ac:dyDescent="0.25">
      <c r="B18" s="7" t="s">
        <v>38</v>
      </c>
      <c r="F18" s="131">
        <f>F9+F16</f>
        <v>1002765</v>
      </c>
      <c r="G18" s="19"/>
      <c r="H18" s="132">
        <f>H9+H16</f>
        <v>1047518</v>
      </c>
      <c r="I18" s="19"/>
      <c r="J18" s="133">
        <f>J9+J16</f>
        <v>1101495</v>
      </c>
      <c r="K18" s="19"/>
      <c r="L18" s="131">
        <f>L9+L16</f>
        <v>1081675</v>
      </c>
      <c r="M18" s="19"/>
      <c r="N18" s="132">
        <f>N9+N16</f>
        <v>1135652</v>
      </c>
      <c r="O18" s="19"/>
      <c r="P18" s="132">
        <f>P9+P16</f>
        <v>68361</v>
      </c>
      <c r="Q18" s="239"/>
      <c r="R18" s="133">
        <f>R9+R16</f>
        <v>1150036</v>
      </c>
      <c r="U18" s="399"/>
      <c r="W18" s="59"/>
      <c r="X18" s="59"/>
      <c r="Y18" s="59"/>
      <c r="Z18" s="59"/>
      <c r="AA18" s="59"/>
      <c r="AB18" s="59"/>
      <c r="AC18" s="59"/>
    </row>
    <row r="19" spans="2:53" x14ac:dyDescent="0.25">
      <c r="F19" s="122"/>
      <c r="G19" s="19"/>
      <c r="H19" s="126"/>
      <c r="I19" s="19"/>
      <c r="J19" s="127"/>
      <c r="K19" s="19"/>
      <c r="L19" s="122"/>
      <c r="M19" s="19"/>
      <c r="N19" s="126"/>
      <c r="O19" s="19"/>
      <c r="P19" s="126"/>
      <c r="Q19" s="239"/>
      <c r="R19" s="127"/>
      <c r="U19" s="399"/>
      <c r="W19" s="59"/>
      <c r="X19" s="59"/>
      <c r="Y19" s="59"/>
      <c r="Z19" s="59"/>
      <c r="AA19" s="59"/>
      <c r="AB19" s="59"/>
      <c r="AC19" s="59"/>
    </row>
    <row r="20" spans="2:53" x14ac:dyDescent="0.25">
      <c r="B20" s="7" t="s">
        <v>39</v>
      </c>
      <c r="F20" s="122"/>
      <c r="G20" s="19"/>
      <c r="H20" s="19"/>
      <c r="I20" s="19"/>
      <c r="J20" s="123"/>
      <c r="K20" s="19"/>
      <c r="L20" s="122"/>
      <c r="M20" s="19"/>
      <c r="N20" s="19"/>
      <c r="O20" s="19"/>
      <c r="P20" s="19"/>
      <c r="Q20" s="239"/>
      <c r="R20" s="123"/>
      <c r="U20" s="399"/>
      <c r="W20" s="5"/>
      <c r="X20" s="5"/>
      <c r="Y20" s="5"/>
      <c r="Z20" s="5"/>
      <c r="AA20" s="5"/>
      <c r="AB20" s="5"/>
      <c r="AC20" s="5"/>
    </row>
    <row r="21" spans="2:53" x14ac:dyDescent="0.25">
      <c r="B21" s="87" t="s">
        <v>204</v>
      </c>
      <c r="C21" t="s">
        <v>60</v>
      </c>
      <c r="F21" s="122">
        <v>0</v>
      </c>
      <c r="G21" s="19"/>
      <c r="H21" s="19">
        <v>0</v>
      </c>
      <c r="I21" s="19"/>
      <c r="J21" s="123">
        <v>0</v>
      </c>
      <c r="K21" s="19"/>
      <c r="L21" s="122">
        <v>0</v>
      </c>
      <c r="M21" s="19"/>
      <c r="N21" s="19">
        <f t="shared" ref="N21:N29" si="2">P21-J21</f>
        <v>0</v>
      </c>
      <c r="O21" s="19"/>
      <c r="P21" s="19">
        <f t="shared" ref="P21:P29" si="3">R21-L21</f>
        <v>0</v>
      </c>
      <c r="Q21" s="239"/>
      <c r="R21" s="123">
        <v>0</v>
      </c>
      <c r="U21" s="399"/>
      <c r="W21" s="5"/>
      <c r="X21" s="5"/>
      <c r="Y21" s="5"/>
      <c r="Z21" s="5"/>
      <c r="AA21" s="5"/>
      <c r="AB21" s="5"/>
      <c r="AC21" s="5"/>
    </row>
    <row r="22" spans="2:53" ht="16.5" thickBot="1" x14ac:dyDescent="0.3">
      <c r="B22" s="87" t="s">
        <v>196</v>
      </c>
      <c r="C22" t="s">
        <v>61</v>
      </c>
      <c r="F22" s="122">
        <v>0</v>
      </c>
      <c r="G22" s="19"/>
      <c r="H22" s="19">
        <v>0</v>
      </c>
      <c r="I22" s="19"/>
      <c r="J22" s="123">
        <v>0</v>
      </c>
      <c r="K22" s="19"/>
      <c r="L22" s="122">
        <v>0</v>
      </c>
      <c r="M22" s="19"/>
      <c r="N22" s="19">
        <f t="shared" si="2"/>
        <v>0</v>
      </c>
      <c r="O22" s="19"/>
      <c r="P22" s="19">
        <f t="shared" si="3"/>
        <v>0</v>
      </c>
      <c r="Q22" s="239"/>
      <c r="R22" s="123">
        <v>0</v>
      </c>
      <c r="U22" s="399"/>
      <c r="W22" s="400" t="s">
        <v>378</v>
      </c>
      <c r="X22" s="400"/>
      <c r="Y22" s="400"/>
      <c r="Z22" s="400"/>
      <c r="AA22" s="400"/>
      <c r="AB22" s="400"/>
      <c r="AC22" s="400"/>
      <c r="AJ22" s="59"/>
      <c r="AK22" s="59"/>
      <c r="AL22" s="59"/>
      <c r="AM22" s="5"/>
      <c r="AN22" s="5"/>
      <c r="AO22" s="5"/>
      <c r="AP22" s="5"/>
      <c r="AU22" s="400" t="s">
        <v>173</v>
      </c>
      <c r="AV22" s="400"/>
      <c r="AW22" s="400"/>
      <c r="AX22" s="400"/>
      <c r="AY22" s="400"/>
      <c r="AZ22" s="400"/>
      <c r="BA22" s="400"/>
    </row>
    <row r="23" spans="2:53" ht="16.5" thickBot="1" x14ac:dyDescent="0.3">
      <c r="B23" s="87" t="s">
        <v>197</v>
      </c>
      <c r="C23" t="s">
        <v>62</v>
      </c>
      <c r="F23" s="122">
        <v>0</v>
      </c>
      <c r="G23" s="19"/>
      <c r="H23" s="19">
        <v>0</v>
      </c>
      <c r="I23" s="19"/>
      <c r="J23" s="123">
        <v>0</v>
      </c>
      <c r="K23" s="19"/>
      <c r="L23" s="122">
        <v>0</v>
      </c>
      <c r="M23" s="19"/>
      <c r="N23" s="19">
        <f t="shared" si="2"/>
        <v>0</v>
      </c>
      <c r="O23" s="19"/>
      <c r="P23" s="19">
        <f t="shared" si="3"/>
        <v>0</v>
      </c>
      <c r="Q23" s="239"/>
      <c r="R23" s="123">
        <v>0</v>
      </c>
      <c r="U23" s="399"/>
      <c r="W23" s="401" t="s">
        <v>273</v>
      </c>
      <c r="X23" s="401"/>
      <c r="Y23" s="401"/>
      <c r="Z23" s="401"/>
      <c r="AA23" s="401"/>
      <c r="AB23" s="401"/>
      <c r="AC23" s="401"/>
      <c r="AE23" s="70" t="e">
        <f>+#REF!</f>
        <v>#REF!</v>
      </c>
      <c r="AF23" s="70" t="e">
        <f>+#REF!</f>
        <v>#REF!</v>
      </c>
      <c r="AG23" s="70" t="e">
        <f>+#REF!</f>
        <v>#REF!</v>
      </c>
      <c r="AH23" s="70" t="e">
        <f>+#REF!</f>
        <v>#REF!</v>
      </c>
      <c r="AJ23" s="104"/>
      <c r="AK23" s="104"/>
      <c r="AL23" s="59"/>
      <c r="AM23" s="96"/>
      <c r="AN23" s="94"/>
      <c r="AO23" s="94"/>
      <c r="AP23" s="101" t="s">
        <v>238</v>
      </c>
      <c r="AQ23" s="103">
        <f>+BudgetAssump!$K$23+BudgetAssump!K16</f>
        <v>0.214</v>
      </c>
      <c r="AR23" s="90"/>
      <c r="AS23" s="201" t="s">
        <v>236</v>
      </c>
      <c r="AT23" s="201"/>
      <c r="AU23" s="401" t="s">
        <v>272</v>
      </c>
      <c r="AV23" s="401"/>
      <c r="AW23" s="401"/>
      <c r="AX23" s="401"/>
      <c r="AY23" s="401"/>
      <c r="AZ23" s="401"/>
      <c r="BA23" s="401"/>
    </row>
    <row r="24" spans="2:53" ht="15.75" thickBot="1" x14ac:dyDescent="0.3">
      <c r="B24" s="87" t="s">
        <v>198</v>
      </c>
      <c r="C24" t="s">
        <v>63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19">
        <f t="shared" si="2"/>
        <v>0</v>
      </c>
      <c r="O24" s="19"/>
      <c r="P24" s="19">
        <f t="shared" si="3"/>
        <v>0</v>
      </c>
      <c r="Q24" s="239"/>
      <c r="R24" s="123">
        <v>0</v>
      </c>
      <c r="U24" s="399"/>
      <c r="V24" s="187" t="s">
        <v>233</v>
      </c>
      <c r="W24" s="188" t="s">
        <v>231</v>
      </c>
      <c r="X24" s="188" t="s">
        <v>231</v>
      </c>
      <c r="Y24" s="188" t="s">
        <v>231</v>
      </c>
      <c r="Z24" s="188" t="s">
        <v>231</v>
      </c>
      <c r="AA24" s="188" t="s">
        <v>231</v>
      </c>
      <c r="AB24" s="188" t="s">
        <v>231</v>
      </c>
      <c r="AC24" s="188" t="s">
        <v>231</v>
      </c>
      <c r="AD24" s="187" t="s">
        <v>233</v>
      </c>
      <c r="AE24" s="188" t="s">
        <v>232</v>
      </c>
      <c r="AF24" s="188" t="s">
        <v>232</v>
      </c>
      <c r="AG24" s="188" t="s">
        <v>232</v>
      </c>
      <c r="AH24" s="188" t="s">
        <v>232</v>
      </c>
      <c r="AJ24" s="59" t="s">
        <v>231</v>
      </c>
      <c r="AK24" s="59" t="s">
        <v>231</v>
      </c>
      <c r="AL24" s="59" t="s">
        <v>231</v>
      </c>
      <c r="AM24" s="96" t="s">
        <v>232</v>
      </c>
      <c r="AN24" s="96" t="s">
        <v>232</v>
      </c>
      <c r="AO24" s="96" t="s">
        <v>232</v>
      </c>
      <c r="AP24" s="90" t="s">
        <v>232</v>
      </c>
      <c r="AQ24" s="201" t="s">
        <v>232</v>
      </c>
      <c r="AR24" s="90" t="s">
        <v>232</v>
      </c>
      <c r="AS24" s="201" t="s">
        <v>232</v>
      </c>
      <c r="AT24" s="201"/>
      <c r="AU24" s="90" t="s">
        <v>231</v>
      </c>
      <c r="AV24" s="90" t="s">
        <v>231</v>
      </c>
      <c r="AW24" s="90" t="s">
        <v>231</v>
      </c>
      <c r="AX24" s="90" t="s">
        <v>231</v>
      </c>
      <c r="AY24" s="90" t="s">
        <v>231</v>
      </c>
      <c r="AZ24" s="90" t="s">
        <v>231</v>
      </c>
      <c r="BA24" s="59" t="s">
        <v>231</v>
      </c>
    </row>
    <row r="25" spans="2:53" ht="15.75" thickBot="1" x14ac:dyDescent="0.3">
      <c r="B25" s="87" t="s">
        <v>199</v>
      </c>
      <c r="C25" t="s">
        <v>49</v>
      </c>
      <c r="F25" s="122">
        <v>0</v>
      </c>
      <c r="G25" s="19"/>
      <c r="H25" s="19">
        <v>0</v>
      </c>
      <c r="I25" s="19"/>
      <c r="J25" s="123">
        <v>0</v>
      </c>
      <c r="K25" s="19"/>
      <c r="L25" s="122">
        <v>0</v>
      </c>
      <c r="M25" s="19"/>
      <c r="N25" s="19">
        <f t="shared" si="2"/>
        <v>0</v>
      </c>
      <c r="O25" s="19"/>
      <c r="P25" s="19">
        <f t="shared" si="3"/>
        <v>0</v>
      </c>
      <c r="Q25" s="239"/>
      <c r="R25" s="123">
        <v>0</v>
      </c>
      <c r="U25" s="399"/>
      <c r="W25" s="66" t="s">
        <v>144</v>
      </c>
      <c r="X25" s="69" t="s">
        <v>139</v>
      </c>
      <c r="Y25" s="67" t="s">
        <v>145</v>
      </c>
      <c r="Z25" s="69" t="s">
        <v>174</v>
      </c>
      <c r="AA25" s="67" t="s">
        <v>175</v>
      </c>
      <c r="AB25" s="69" t="s">
        <v>148</v>
      </c>
      <c r="AC25" s="68" t="s">
        <v>149</v>
      </c>
      <c r="AD25" s="68" t="s">
        <v>229</v>
      </c>
      <c r="AE25" s="70" t="e">
        <f>+#REF!</f>
        <v>#REF!</v>
      </c>
      <c r="AF25" s="70" t="e">
        <f>+#REF!</f>
        <v>#REF!</v>
      </c>
      <c r="AG25" s="70" t="e">
        <f>+#REF!</f>
        <v>#REF!</v>
      </c>
      <c r="AH25" s="70" t="e">
        <f>+#REF!</f>
        <v>#REF!</v>
      </c>
      <c r="AJ25" s="102" t="s">
        <v>138</v>
      </c>
      <c r="AK25" s="102" t="s">
        <v>150</v>
      </c>
      <c r="AL25" s="102" t="s">
        <v>235</v>
      </c>
      <c r="AM25" s="97" t="s">
        <v>140</v>
      </c>
      <c r="AN25" s="95" t="s">
        <v>141</v>
      </c>
      <c r="AO25" s="95" t="s">
        <v>142</v>
      </c>
      <c r="AP25" s="93" t="s">
        <v>143</v>
      </c>
      <c r="AQ25" s="99" t="s">
        <v>161</v>
      </c>
      <c r="AR25" s="93" t="s">
        <v>162</v>
      </c>
      <c r="AS25" s="99" t="s">
        <v>283</v>
      </c>
      <c r="AT25" s="99" t="s">
        <v>237</v>
      </c>
      <c r="AU25" s="202" t="s">
        <v>144</v>
      </c>
      <c r="AV25" s="202" t="s">
        <v>139</v>
      </c>
      <c r="AW25" s="202" t="s">
        <v>145</v>
      </c>
      <c r="AX25" s="202" t="s">
        <v>146</v>
      </c>
      <c r="AY25" s="202" t="s">
        <v>147</v>
      </c>
      <c r="AZ25" s="202" t="s">
        <v>148</v>
      </c>
      <c r="BA25" s="102" t="s">
        <v>149</v>
      </c>
    </row>
    <row r="26" spans="2:53" x14ac:dyDescent="0.25">
      <c r="B26" s="87" t="s">
        <v>200</v>
      </c>
      <c r="C26" t="s">
        <v>64</v>
      </c>
      <c r="F26" s="122">
        <v>0</v>
      </c>
      <c r="G26" s="19"/>
      <c r="H26" s="19">
        <v>0</v>
      </c>
      <c r="I26" s="19"/>
      <c r="J26" s="123">
        <v>0</v>
      </c>
      <c r="K26" s="19"/>
      <c r="L26" s="122">
        <v>0</v>
      </c>
      <c r="M26" s="19"/>
      <c r="N26" s="19">
        <f t="shared" si="2"/>
        <v>0</v>
      </c>
      <c r="O26" s="19"/>
      <c r="P26" s="19">
        <f t="shared" si="3"/>
        <v>0</v>
      </c>
      <c r="Q26" s="239"/>
      <c r="R26" s="123">
        <v>0</v>
      </c>
      <c r="U26" s="399"/>
      <c r="W26" s="59"/>
      <c r="X26" s="59"/>
      <c r="Y26" s="59"/>
      <c r="Z26" s="59"/>
      <c r="AA26" s="59"/>
      <c r="AB26" s="59"/>
      <c r="AC26" s="59"/>
      <c r="AD26" s="59"/>
      <c r="AE26" s="90"/>
      <c r="AF26" s="90"/>
      <c r="AG26" s="90"/>
      <c r="AH26" s="91"/>
      <c r="AJ26" s="59"/>
      <c r="AK26" s="59"/>
      <c r="AL26" s="59"/>
      <c r="AM26" s="96"/>
      <c r="AN26" s="94"/>
      <c r="AO26" s="94"/>
      <c r="AP26" s="90"/>
      <c r="AQ26" s="201">
        <f>+AP26*AQ23</f>
        <v>0</v>
      </c>
      <c r="AR26" s="90"/>
      <c r="AS26" s="201">
        <f>AQ26+AR26</f>
        <v>0</v>
      </c>
      <c r="AT26" s="201">
        <f>+AS26+AP26</f>
        <v>0</v>
      </c>
      <c r="AU26" s="59"/>
      <c r="AV26" s="59"/>
      <c r="AW26" s="59"/>
      <c r="AX26" s="59"/>
      <c r="AY26" s="59"/>
      <c r="AZ26" s="59"/>
      <c r="BA26" s="59"/>
    </row>
    <row r="27" spans="2:53" x14ac:dyDescent="0.25">
      <c r="B27" s="87" t="s">
        <v>201</v>
      </c>
      <c r="C27" t="s">
        <v>65</v>
      </c>
      <c r="F27" s="122">
        <v>0</v>
      </c>
      <c r="G27" s="19"/>
      <c r="H27" s="19">
        <v>0</v>
      </c>
      <c r="I27" s="19"/>
      <c r="J27" s="123">
        <v>0</v>
      </c>
      <c r="K27" s="19"/>
      <c r="L27" s="122">
        <v>750000</v>
      </c>
      <c r="M27" s="19"/>
      <c r="N27" s="19">
        <v>750000</v>
      </c>
      <c r="O27" s="19"/>
      <c r="P27" s="19">
        <f t="shared" si="3"/>
        <v>0</v>
      </c>
      <c r="Q27" s="239"/>
      <c r="R27" s="123">
        <v>750000</v>
      </c>
      <c r="U27" s="39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2"/>
      <c r="AJ27" s="59"/>
      <c r="AK27" s="59"/>
      <c r="AL27" s="59"/>
      <c r="AM27" s="96"/>
      <c r="AN27" s="94"/>
      <c r="AO27" s="94"/>
      <c r="AP27" s="90"/>
      <c r="AQ27" s="201"/>
      <c r="AR27" s="90"/>
      <c r="AS27" s="201">
        <f t="shared" ref="AS27:AS49" si="4">AQ27+AR27</f>
        <v>0</v>
      </c>
      <c r="AT27" s="201">
        <f t="shared" ref="AT27:AT49" si="5">+AS27+AP27</f>
        <v>0</v>
      </c>
      <c r="AU27" s="59"/>
      <c r="AV27" s="59"/>
      <c r="AW27" s="59"/>
      <c r="AX27" s="59"/>
      <c r="AY27" s="59"/>
      <c r="AZ27" s="59"/>
      <c r="BA27" s="59"/>
    </row>
    <row r="28" spans="2:53" x14ac:dyDescent="0.25">
      <c r="B28" s="87" t="s">
        <v>202</v>
      </c>
      <c r="C28" t="s">
        <v>66</v>
      </c>
      <c r="F28" s="122">
        <v>0</v>
      </c>
      <c r="G28" s="19"/>
      <c r="H28" s="19">
        <v>0</v>
      </c>
      <c r="I28" s="19"/>
      <c r="J28" s="123">
        <v>0</v>
      </c>
      <c r="K28" s="19"/>
      <c r="L28" s="122">
        <v>0</v>
      </c>
      <c r="M28" s="19"/>
      <c r="N28" s="19">
        <f t="shared" si="2"/>
        <v>0</v>
      </c>
      <c r="O28" s="19"/>
      <c r="P28" s="19">
        <f t="shared" si="3"/>
        <v>0</v>
      </c>
      <c r="Q28" s="239"/>
      <c r="R28" s="123">
        <v>0</v>
      </c>
      <c r="U28" s="39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2"/>
      <c r="AJ28" s="59"/>
      <c r="AK28" s="59"/>
      <c r="AL28" s="59"/>
      <c r="AM28" s="96"/>
      <c r="AN28" s="94"/>
      <c r="AO28" s="94"/>
      <c r="AP28" s="90"/>
      <c r="AQ28" s="201"/>
      <c r="AR28" s="90"/>
      <c r="AS28" s="201">
        <f t="shared" si="4"/>
        <v>0</v>
      </c>
      <c r="AT28" s="201">
        <f t="shared" si="5"/>
        <v>0</v>
      </c>
      <c r="AU28" s="59"/>
      <c r="AV28" s="59"/>
      <c r="AW28" s="59"/>
      <c r="AX28" s="59"/>
      <c r="AY28" s="59"/>
      <c r="AZ28" s="59"/>
      <c r="BA28" s="59"/>
    </row>
    <row r="29" spans="2:53" x14ac:dyDescent="0.25">
      <c r="B29" s="87" t="s">
        <v>203</v>
      </c>
      <c r="C29" t="s">
        <v>67</v>
      </c>
      <c r="F29" s="131">
        <v>0</v>
      </c>
      <c r="G29" s="19"/>
      <c r="H29" s="132">
        <v>0</v>
      </c>
      <c r="I29" s="19"/>
      <c r="J29" s="133">
        <v>0</v>
      </c>
      <c r="K29" s="19"/>
      <c r="L29" s="131">
        <v>0</v>
      </c>
      <c r="M29" s="19"/>
      <c r="N29" s="132">
        <f t="shared" si="2"/>
        <v>0</v>
      </c>
      <c r="O29" s="19"/>
      <c r="P29" s="132">
        <f t="shared" si="3"/>
        <v>0</v>
      </c>
      <c r="Q29" s="239"/>
      <c r="R29" s="133">
        <v>0</v>
      </c>
      <c r="U29" s="39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2"/>
      <c r="AJ29" s="59"/>
      <c r="AK29" s="59"/>
      <c r="AL29" s="59"/>
      <c r="AM29" s="96"/>
      <c r="AN29" s="94"/>
      <c r="AO29" s="94"/>
      <c r="AP29" s="90"/>
      <c r="AQ29" s="201"/>
      <c r="AR29" s="90"/>
      <c r="AS29" s="201">
        <f t="shared" si="4"/>
        <v>0</v>
      </c>
      <c r="AT29" s="201">
        <f t="shared" si="5"/>
        <v>0</v>
      </c>
      <c r="AU29" s="59"/>
      <c r="AV29" s="59"/>
      <c r="AW29" s="59"/>
      <c r="AX29" s="59"/>
      <c r="AY29" s="59"/>
      <c r="AZ29" s="59"/>
      <c r="BA29" s="59"/>
    </row>
    <row r="30" spans="2:53" x14ac:dyDescent="0.25">
      <c r="B30" s="7" t="s">
        <v>50</v>
      </c>
      <c r="F30" s="122">
        <f>SUM(F20:F29)</f>
        <v>0</v>
      </c>
      <c r="G30" s="19"/>
      <c r="H30" s="19">
        <f>SUM(H20:H29)</f>
        <v>0</v>
      </c>
      <c r="I30" s="19"/>
      <c r="J30" s="123">
        <f>SUM(J21:J29)</f>
        <v>0</v>
      </c>
      <c r="K30" s="19"/>
      <c r="L30" s="122">
        <f>SUM(L20:L29)</f>
        <v>750000</v>
      </c>
      <c r="M30" s="19"/>
      <c r="N30" s="19">
        <f>SUM(N20:N29)</f>
        <v>750000</v>
      </c>
      <c r="O30" s="19"/>
      <c r="P30" s="19">
        <f>SUM(P20:P29)</f>
        <v>0</v>
      </c>
      <c r="Q30" s="239"/>
      <c r="R30" s="123">
        <f>SUM(R20:R29)</f>
        <v>750000</v>
      </c>
      <c r="U30" s="39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2"/>
      <c r="AJ30" s="59"/>
      <c r="AK30" s="59"/>
      <c r="AL30" s="59"/>
      <c r="AM30" s="96"/>
      <c r="AN30" s="94"/>
      <c r="AO30" s="94"/>
      <c r="AP30" s="90"/>
      <c r="AQ30" s="201"/>
      <c r="AR30" s="90"/>
      <c r="AS30" s="201">
        <f t="shared" si="4"/>
        <v>0</v>
      </c>
      <c r="AT30" s="201">
        <f t="shared" si="5"/>
        <v>0</v>
      </c>
      <c r="AU30" s="59"/>
      <c r="AV30" s="59"/>
      <c r="AW30" s="59"/>
      <c r="AX30" s="59"/>
      <c r="AY30" s="59"/>
      <c r="AZ30" s="59"/>
      <c r="BA30" s="59"/>
    </row>
    <row r="31" spans="2:53" x14ac:dyDescent="0.25">
      <c r="F31" s="122"/>
      <c r="G31" s="19"/>
      <c r="H31" s="19"/>
      <c r="I31" s="19"/>
      <c r="J31" s="123"/>
      <c r="K31" s="19"/>
      <c r="L31" s="122"/>
      <c r="M31" s="19"/>
      <c r="N31" s="19"/>
      <c r="O31" s="19"/>
      <c r="P31" s="19"/>
      <c r="Q31" s="239"/>
      <c r="R31" s="123"/>
      <c r="U31" s="39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2"/>
      <c r="AJ31" s="59"/>
      <c r="AK31" s="59"/>
      <c r="AL31" s="59"/>
      <c r="AM31" s="96"/>
      <c r="AN31" s="94"/>
      <c r="AO31" s="94"/>
      <c r="AP31" s="90"/>
      <c r="AQ31" s="201"/>
      <c r="AR31" s="90"/>
      <c r="AS31" s="201">
        <f t="shared" si="4"/>
        <v>0</v>
      </c>
      <c r="AT31" s="201">
        <f t="shared" si="5"/>
        <v>0</v>
      </c>
      <c r="AU31" s="59"/>
      <c r="AV31" s="59"/>
      <c r="AW31" s="59"/>
      <c r="AX31" s="59"/>
      <c r="AY31" s="59"/>
      <c r="AZ31" s="59"/>
      <c r="BA31" s="59"/>
    </row>
    <row r="32" spans="2:53" ht="14.1" customHeight="1" thickBot="1" x14ac:dyDescent="0.3">
      <c r="D32" s="53" t="s">
        <v>193</v>
      </c>
      <c r="F32" s="134">
        <f>+F16-F30</f>
        <v>34957</v>
      </c>
      <c r="G32" s="135"/>
      <c r="H32" s="135">
        <f>+H16-H30</f>
        <v>44753</v>
      </c>
      <c r="I32" s="135"/>
      <c r="J32" s="136">
        <f>+J16-J30</f>
        <v>53977</v>
      </c>
      <c r="K32" s="135"/>
      <c r="L32" s="134">
        <f>+L16-L30</f>
        <v>-715843</v>
      </c>
      <c r="M32" s="135"/>
      <c r="N32" s="135">
        <f>+N16-N30</f>
        <v>-715843</v>
      </c>
      <c r="O32" s="135"/>
      <c r="P32" s="135">
        <f>+P16-P30</f>
        <v>14384</v>
      </c>
      <c r="Q32" s="243"/>
      <c r="R32" s="136">
        <f>+R16-R30</f>
        <v>-701459</v>
      </c>
      <c r="U32" s="39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2"/>
      <c r="AJ32" s="59"/>
      <c r="AK32" s="59"/>
      <c r="AL32" s="59"/>
      <c r="AM32" s="96"/>
      <c r="AN32" s="94"/>
      <c r="AO32" s="94"/>
      <c r="AP32" s="90"/>
      <c r="AQ32" s="201"/>
      <c r="AR32" s="90"/>
      <c r="AS32" s="201">
        <f t="shared" si="4"/>
        <v>0</v>
      </c>
      <c r="AT32" s="201">
        <f t="shared" si="5"/>
        <v>0</v>
      </c>
      <c r="AU32" s="59"/>
      <c r="AV32" s="59"/>
      <c r="AW32" s="59"/>
      <c r="AX32" s="59"/>
      <c r="AY32" s="59"/>
      <c r="AZ32" s="59"/>
      <c r="BA32" s="59"/>
    </row>
    <row r="33" spans="2:53" ht="15.75" thickTop="1" x14ac:dyDescent="0.25">
      <c r="B33" s="7" t="s">
        <v>53</v>
      </c>
      <c r="F33" s="122"/>
      <c r="G33" s="19"/>
      <c r="H33" s="19"/>
      <c r="I33" s="19"/>
      <c r="J33" s="123"/>
      <c r="K33" s="19"/>
      <c r="L33" s="122"/>
      <c r="M33" s="19"/>
      <c r="N33" s="19"/>
      <c r="O33" s="19"/>
      <c r="P33" s="19"/>
      <c r="Q33" s="239"/>
      <c r="R33" s="123"/>
      <c r="U33" s="39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2"/>
      <c r="AJ33" s="59"/>
      <c r="AK33" s="59"/>
      <c r="AL33" s="59"/>
      <c r="AM33" s="96"/>
      <c r="AN33" s="94"/>
      <c r="AO33" s="94"/>
      <c r="AP33" s="90"/>
      <c r="AQ33" s="201"/>
      <c r="AR33" s="90"/>
      <c r="AS33" s="201">
        <f t="shared" si="4"/>
        <v>0</v>
      </c>
      <c r="AT33" s="201">
        <f t="shared" si="5"/>
        <v>0</v>
      </c>
      <c r="AU33" s="59"/>
      <c r="AV33" s="59"/>
      <c r="AW33" s="59"/>
      <c r="AX33" s="59"/>
      <c r="AY33" s="59"/>
      <c r="AZ33" s="59"/>
      <c r="BA33" s="59"/>
    </row>
    <row r="34" spans="2:53" x14ac:dyDescent="0.25">
      <c r="C34" t="s">
        <v>211</v>
      </c>
      <c r="F34" s="131">
        <f>F9+F32</f>
        <v>1002765</v>
      </c>
      <c r="G34" s="19"/>
      <c r="H34" s="132">
        <f>H9+H32</f>
        <v>1047518</v>
      </c>
      <c r="I34" s="19"/>
      <c r="J34" s="133">
        <f>J9+J32</f>
        <v>1101495</v>
      </c>
      <c r="K34" s="19"/>
      <c r="L34" s="131">
        <f>L9+L16-L30</f>
        <v>331675</v>
      </c>
      <c r="M34" s="19"/>
      <c r="N34" s="19">
        <f>N9+N16-N30</f>
        <v>385652</v>
      </c>
      <c r="O34" s="19"/>
      <c r="P34" s="19">
        <f t="shared" ref="P34" si="6">R34-L34</f>
        <v>68361</v>
      </c>
      <c r="Q34" s="239"/>
      <c r="R34" s="133">
        <f>R9+R16-R30</f>
        <v>400036</v>
      </c>
      <c r="U34" s="39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2"/>
      <c r="AJ34" s="59"/>
      <c r="AK34" s="59"/>
      <c r="AL34" s="59"/>
      <c r="AM34" s="96"/>
      <c r="AN34" s="94"/>
      <c r="AO34" s="94"/>
      <c r="AP34" s="90"/>
      <c r="AQ34" s="201"/>
      <c r="AR34" s="90"/>
      <c r="AS34" s="201">
        <f t="shared" si="4"/>
        <v>0</v>
      </c>
      <c r="AT34" s="201">
        <f t="shared" si="5"/>
        <v>0</v>
      </c>
      <c r="AU34" s="59"/>
      <c r="AV34" s="59"/>
      <c r="AW34" s="59"/>
      <c r="AX34" s="59"/>
      <c r="AY34" s="59"/>
      <c r="AZ34" s="59"/>
      <c r="BA34" s="59"/>
    </row>
    <row r="35" spans="2:53" ht="15.75" thickBot="1" x14ac:dyDescent="0.3">
      <c r="B35" s="7" t="s">
        <v>137</v>
      </c>
      <c r="F35" s="137">
        <f>SUM(F33:F34)</f>
        <v>1002765</v>
      </c>
      <c r="G35" s="138"/>
      <c r="H35" s="138">
        <f>SUM(H33:H34)</f>
        <v>1047518</v>
      </c>
      <c r="I35" s="138"/>
      <c r="J35" s="140">
        <f>SUM(J33:J34)</f>
        <v>1101495</v>
      </c>
      <c r="K35" s="19"/>
      <c r="L35" s="137">
        <f>SUM(L33:L34)</f>
        <v>331675</v>
      </c>
      <c r="M35" s="138"/>
      <c r="N35" s="145">
        <f>SUM(N33:N34)</f>
        <v>385652</v>
      </c>
      <c r="O35" s="138"/>
      <c r="P35" s="145">
        <f>SUM(P33:P34)</f>
        <v>68361</v>
      </c>
      <c r="Q35" s="239"/>
      <c r="R35" s="140">
        <f>SUM(R33:R34)</f>
        <v>400036</v>
      </c>
      <c r="U35" s="39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2"/>
      <c r="AJ35" s="59"/>
      <c r="AK35" s="59"/>
      <c r="AL35" s="59"/>
      <c r="AM35" s="96"/>
      <c r="AN35" s="94"/>
      <c r="AO35" s="94"/>
      <c r="AP35" s="90"/>
      <c r="AQ35" s="201"/>
      <c r="AR35" s="90"/>
      <c r="AS35" s="201">
        <f t="shared" si="4"/>
        <v>0</v>
      </c>
      <c r="AT35" s="201">
        <f t="shared" si="5"/>
        <v>0</v>
      </c>
      <c r="AU35" s="59"/>
      <c r="AV35" s="59"/>
      <c r="AW35" s="59"/>
      <c r="AX35" s="59"/>
      <c r="AY35" s="59"/>
      <c r="AZ35" s="59"/>
      <c r="BA35" s="59"/>
    </row>
    <row r="36" spans="2:53" ht="15.75" thickBot="1" x14ac:dyDescent="0.3">
      <c r="F36" s="142"/>
      <c r="G36" s="142"/>
      <c r="H36" s="142"/>
      <c r="I36" s="142"/>
      <c r="J36" s="53"/>
      <c r="K36" s="19"/>
      <c r="L36" s="142"/>
      <c r="M36" s="142"/>
      <c r="N36" s="142"/>
      <c r="O36" s="142"/>
      <c r="P36" s="142"/>
      <c r="Q36" s="19"/>
      <c r="R36" s="142"/>
      <c r="U36" s="39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2"/>
      <c r="AJ36" s="59"/>
      <c r="AK36" s="59"/>
      <c r="AL36" s="59"/>
      <c r="AM36" s="96"/>
      <c r="AN36" s="94"/>
      <c r="AO36" s="94"/>
      <c r="AP36" s="90"/>
      <c r="AQ36" s="201"/>
      <c r="AR36" s="90"/>
      <c r="AS36" s="201">
        <f t="shared" si="4"/>
        <v>0</v>
      </c>
      <c r="AT36" s="201">
        <f t="shared" si="5"/>
        <v>0</v>
      </c>
      <c r="AU36" s="59"/>
      <c r="AV36" s="59"/>
      <c r="AW36" s="59"/>
      <c r="AX36" s="59"/>
      <c r="AY36" s="59"/>
      <c r="AZ36" s="59"/>
      <c r="BA36" s="59"/>
    </row>
    <row r="37" spans="2:53" ht="15.75" thickBot="1" x14ac:dyDescent="0.3">
      <c r="F37" s="142"/>
      <c r="G37" s="142"/>
      <c r="H37" s="142"/>
      <c r="I37" s="142"/>
      <c r="J37" s="53" t="s">
        <v>268</v>
      </c>
      <c r="K37" s="105"/>
      <c r="L37" s="147">
        <f>+L35+L30</f>
        <v>1081675</v>
      </c>
      <c r="M37" s="82"/>
      <c r="N37" s="82"/>
      <c r="O37" s="82"/>
      <c r="P37" s="82"/>
      <c r="Q37" s="105"/>
      <c r="R37" s="147">
        <f>+R35+R30</f>
        <v>1150036</v>
      </c>
      <c r="U37" s="399"/>
      <c r="W37" s="5"/>
      <c r="X37" s="5"/>
      <c r="Y37" s="5"/>
      <c r="Z37" s="5"/>
      <c r="AA37" s="5"/>
      <c r="AB37" s="5"/>
      <c r="AC37" s="5"/>
      <c r="AJ37" s="59"/>
      <c r="AK37" s="59"/>
      <c r="AL37" s="59"/>
      <c r="AM37" s="96"/>
      <c r="AN37" s="94"/>
      <c r="AO37" s="94"/>
      <c r="AP37" s="90"/>
      <c r="AQ37" s="201"/>
      <c r="AR37" s="90"/>
      <c r="AS37" s="201">
        <f t="shared" si="4"/>
        <v>0</v>
      </c>
      <c r="AT37" s="201">
        <f t="shared" si="5"/>
        <v>0</v>
      </c>
      <c r="AU37" s="59"/>
      <c r="AV37" s="59"/>
      <c r="AW37" s="59"/>
      <c r="AX37" s="59"/>
      <c r="AY37" s="59"/>
      <c r="AZ37" s="59"/>
      <c r="BA37" s="59"/>
    </row>
    <row r="38" spans="2:53" x14ac:dyDescent="0.25">
      <c r="F38" s="5"/>
      <c r="G38" s="5"/>
      <c r="H38" s="5"/>
      <c r="I38" s="5"/>
      <c r="J38" s="53"/>
      <c r="K38" s="5"/>
      <c r="L38" s="5"/>
      <c r="M38" s="5"/>
      <c r="N38" s="5"/>
      <c r="O38" s="5"/>
      <c r="P38" s="5"/>
      <c r="Q38" s="5"/>
      <c r="R38" s="5"/>
      <c r="U38" s="399"/>
      <c r="W38" s="5"/>
      <c r="X38" s="5"/>
      <c r="Y38" s="5"/>
      <c r="Z38" s="5"/>
      <c r="AA38" s="5"/>
      <c r="AB38" s="5"/>
      <c r="AC38" s="5"/>
      <c r="AJ38" s="59"/>
      <c r="AK38" s="59"/>
      <c r="AL38" s="59"/>
      <c r="AM38" s="96"/>
      <c r="AN38" s="94"/>
      <c r="AO38" s="94"/>
      <c r="AP38" s="90"/>
      <c r="AQ38" s="201"/>
      <c r="AR38" s="90"/>
      <c r="AS38" s="201">
        <f t="shared" si="4"/>
        <v>0</v>
      </c>
      <c r="AT38" s="201">
        <f t="shared" si="5"/>
        <v>0</v>
      </c>
      <c r="AU38" s="59"/>
      <c r="AV38" s="59"/>
      <c r="AW38" s="59"/>
      <c r="AX38" s="59"/>
      <c r="AY38" s="59"/>
      <c r="AZ38" s="59"/>
      <c r="BA38" s="59"/>
    </row>
    <row r="39" spans="2:53" x14ac:dyDescent="0.25">
      <c r="AJ39" s="59"/>
      <c r="AK39" s="59"/>
      <c r="AL39" s="59"/>
      <c r="AM39" s="96"/>
      <c r="AN39" s="94"/>
      <c r="AO39" s="94"/>
      <c r="AP39" s="90"/>
      <c r="AQ39" s="201"/>
      <c r="AR39" s="90"/>
      <c r="AS39" s="201">
        <f t="shared" si="4"/>
        <v>0</v>
      </c>
      <c r="AT39" s="201">
        <f t="shared" si="5"/>
        <v>0</v>
      </c>
      <c r="AU39" s="59"/>
      <c r="AV39" s="59"/>
      <c r="AW39" s="59"/>
      <c r="AX39" s="59"/>
      <c r="AY39" s="59"/>
      <c r="AZ39" s="59"/>
      <c r="BA39" s="59"/>
    </row>
    <row r="40" spans="2:53" x14ac:dyDescent="0.25">
      <c r="AJ40" s="59"/>
      <c r="AK40" s="59"/>
      <c r="AL40" s="59"/>
      <c r="AM40" s="96"/>
      <c r="AN40" s="94"/>
      <c r="AO40" s="94"/>
      <c r="AP40" s="90"/>
      <c r="AQ40" s="201"/>
      <c r="AR40" s="90"/>
      <c r="AS40" s="201">
        <f t="shared" si="4"/>
        <v>0</v>
      </c>
      <c r="AT40" s="201">
        <f t="shared" si="5"/>
        <v>0</v>
      </c>
      <c r="AU40" s="59"/>
      <c r="AV40" s="59"/>
      <c r="AW40" s="59"/>
      <c r="AX40" s="59"/>
      <c r="AY40" s="59"/>
      <c r="AZ40" s="59"/>
      <c r="BA40" s="59"/>
    </row>
    <row r="41" spans="2:53" x14ac:dyDescent="0.25">
      <c r="AJ41" s="59"/>
      <c r="AK41" s="59"/>
      <c r="AL41" s="59"/>
      <c r="AM41" s="96"/>
      <c r="AN41" s="94"/>
      <c r="AO41" s="94"/>
      <c r="AP41" s="90"/>
      <c r="AQ41" s="201"/>
      <c r="AR41" s="90"/>
      <c r="AS41" s="201">
        <f t="shared" si="4"/>
        <v>0</v>
      </c>
      <c r="AT41" s="201">
        <f t="shared" si="5"/>
        <v>0</v>
      </c>
      <c r="AU41" s="59"/>
      <c r="AV41" s="59"/>
      <c r="AW41" s="59"/>
      <c r="AX41" s="59"/>
      <c r="AY41" s="59"/>
      <c r="AZ41" s="59"/>
      <c r="BA41" s="59"/>
    </row>
    <row r="42" spans="2:53" x14ac:dyDescent="0.25">
      <c r="AJ42" s="59"/>
      <c r="AK42" s="59"/>
      <c r="AL42" s="59"/>
      <c r="AM42" s="96"/>
      <c r="AN42" s="94"/>
      <c r="AO42" s="94"/>
      <c r="AP42" s="90"/>
      <c r="AQ42" s="201"/>
      <c r="AR42" s="90"/>
      <c r="AS42" s="201">
        <f t="shared" si="4"/>
        <v>0</v>
      </c>
      <c r="AT42" s="201">
        <f t="shared" si="5"/>
        <v>0</v>
      </c>
      <c r="AU42" s="59"/>
      <c r="AV42" s="59"/>
      <c r="AW42" s="59"/>
      <c r="AX42" s="59"/>
      <c r="AY42" s="59"/>
      <c r="AZ42" s="59"/>
      <c r="BA42" s="59"/>
    </row>
    <row r="43" spans="2:53" x14ac:dyDescent="0.25">
      <c r="AJ43" s="59"/>
      <c r="AK43" s="59"/>
      <c r="AL43" s="59"/>
      <c r="AM43" s="96"/>
      <c r="AN43" s="94"/>
      <c r="AO43" s="94"/>
      <c r="AP43" s="90"/>
      <c r="AQ43" s="201"/>
      <c r="AR43" s="90"/>
      <c r="AS43" s="201">
        <f t="shared" si="4"/>
        <v>0</v>
      </c>
      <c r="AT43" s="201">
        <f t="shared" si="5"/>
        <v>0</v>
      </c>
      <c r="AU43" s="59"/>
      <c r="AV43" s="59"/>
      <c r="AW43" s="59"/>
      <c r="AX43" s="59"/>
      <c r="AY43" s="59"/>
      <c r="AZ43" s="59"/>
      <c r="BA43" s="59"/>
    </row>
    <row r="44" spans="2:53" ht="15.75" thickBot="1" x14ac:dyDescent="0.3">
      <c r="X44" s="186" t="s">
        <v>301</v>
      </c>
      <c r="Y44" s="186"/>
      <c r="Z44" s="186"/>
      <c r="AA44" s="186"/>
      <c r="AJ44" s="59"/>
      <c r="AK44" s="59"/>
      <c r="AL44" s="59"/>
      <c r="AM44" s="96"/>
      <c r="AN44" s="94"/>
      <c r="AO44" s="94"/>
      <c r="AP44" s="90"/>
      <c r="AQ44" s="201"/>
      <c r="AR44" s="90"/>
      <c r="AS44" s="201">
        <f t="shared" si="4"/>
        <v>0</v>
      </c>
      <c r="AT44" s="201">
        <f t="shared" si="5"/>
        <v>0</v>
      </c>
      <c r="AU44" s="59"/>
      <c r="AV44" s="59"/>
      <c r="AW44" s="59"/>
      <c r="AX44" s="59"/>
      <c r="AY44" s="59"/>
      <c r="AZ44" s="59"/>
      <c r="BA44" s="59"/>
    </row>
    <row r="45" spans="2:53" ht="15.75" thickBot="1" x14ac:dyDescent="0.3">
      <c r="W45" s="203" t="s">
        <v>369</v>
      </c>
      <c r="X45" s="203" t="s">
        <v>292</v>
      </c>
      <c r="Y45" s="203" t="s">
        <v>277</v>
      </c>
      <c r="Z45" s="203" t="s">
        <v>356</v>
      </c>
      <c r="AA45" s="203" t="s">
        <v>127</v>
      </c>
      <c r="AB45" s="203" t="s">
        <v>276</v>
      </c>
      <c r="AC45" s="203" t="s">
        <v>278</v>
      </c>
      <c r="AD45" s="183" t="s">
        <v>364</v>
      </c>
      <c r="AE45" s="183"/>
      <c r="AJ45" s="59"/>
      <c r="AK45" s="59"/>
      <c r="AL45" s="59"/>
      <c r="AM45" s="96"/>
      <c r="AN45" s="94"/>
      <c r="AO45" s="94"/>
      <c r="AP45" s="90"/>
      <c r="AQ45" s="201"/>
      <c r="AR45" s="90"/>
      <c r="AS45" s="201">
        <f t="shared" si="4"/>
        <v>0</v>
      </c>
      <c r="AT45" s="201">
        <f t="shared" si="5"/>
        <v>0</v>
      </c>
      <c r="AU45" s="59"/>
      <c r="AV45" s="59"/>
      <c r="AW45" s="59"/>
      <c r="AX45" s="59"/>
      <c r="AY45" s="59"/>
      <c r="AZ45" s="59"/>
      <c r="BA45" s="59"/>
    </row>
    <row r="46" spans="2:53" x14ac:dyDescent="0.25">
      <c r="AJ46" s="59"/>
      <c r="AK46" s="59"/>
      <c r="AL46" s="59"/>
      <c r="AM46" s="96"/>
      <c r="AN46" s="94"/>
      <c r="AO46" s="94"/>
      <c r="AP46" s="90"/>
      <c r="AQ46" s="201"/>
      <c r="AR46" s="90"/>
      <c r="AS46" s="201">
        <f t="shared" si="4"/>
        <v>0</v>
      </c>
      <c r="AT46" s="201">
        <f t="shared" si="5"/>
        <v>0</v>
      </c>
      <c r="AU46" s="59"/>
      <c r="AV46" s="59"/>
      <c r="AW46" s="59"/>
      <c r="AX46" s="59"/>
      <c r="AY46" s="59"/>
      <c r="AZ46" s="59"/>
      <c r="BA46" s="59"/>
    </row>
    <row r="47" spans="2:53" x14ac:dyDescent="0.25">
      <c r="AJ47" s="59"/>
      <c r="AK47" s="59"/>
      <c r="AL47" s="59"/>
      <c r="AM47" s="96"/>
      <c r="AN47" s="94"/>
      <c r="AO47" s="94"/>
      <c r="AP47" s="90"/>
      <c r="AQ47" s="201"/>
      <c r="AR47" s="90"/>
      <c r="AS47" s="201">
        <f t="shared" si="4"/>
        <v>0</v>
      </c>
      <c r="AT47" s="201">
        <f t="shared" si="5"/>
        <v>0</v>
      </c>
      <c r="AU47" s="59"/>
      <c r="AV47" s="59"/>
      <c r="AW47" s="59"/>
      <c r="AX47" s="59"/>
      <c r="AY47" s="59"/>
      <c r="AZ47" s="59"/>
      <c r="BA47" s="59"/>
    </row>
    <row r="48" spans="2:53" x14ac:dyDescent="0.25">
      <c r="AL48" s="59"/>
      <c r="AM48" s="96"/>
      <c r="AN48" s="94"/>
      <c r="AO48" s="94"/>
      <c r="AP48" s="90"/>
      <c r="AQ48" s="201"/>
      <c r="AR48" s="90"/>
      <c r="AS48" s="201">
        <f t="shared" si="4"/>
        <v>0</v>
      </c>
      <c r="AT48" s="201">
        <f t="shared" si="5"/>
        <v>0</v>
      </c>
    </row>
    <row r="49" spans="38:46" x14ac:dyDescent="0.25">
      <c r="AL49" s="59"/>
      <c r="AM49" s="96"/>
      <c r="AN49" s="94"/>
      <c r="AO49" s="94"/>
      <c r="AP49" s="90"/>
      <c r="AQ49" s="201"/>
      <c r="AR49" s="90"/>
      <c r="AS49" s="201">
        <f t="shared" si="4"/>
        <v>0</v>
      </c>
      <c r="AT49" s="201">
        <f t="shared" si="5"/>
        <v>0</v>
      </c>
    </row>
    <row r="50" spans="38:46" x14ac:dyDescent="0.25">
      <c r="AL50" s="51" t="s">
        <v>239</v>
      </c>
      <c r="AM50" s="113">
        <f>SUM(AM26:AM49)</f>
        <v>0</v>
      </c>
      <c r="AN50" s="114"/>
      <c r="AO50" s="114"/>
      <c r="AP50" s="115">
        <f>SUM(AP26:AP49)</f>
        <v>0</v>
      </c>
      <c r="AQ50" s="115">
        <f>SUM(AQ26:AQ49)</f>
        <v>0</v>
      </c>
      <c r="AR50" s="115">
        <f>SUM(AR26:AR49)</f>
        <v>0</v>
      </c>
      <c r="AS50" s="115">
        <f>SUM(AS26:AS49)</f>
        <v>0</v>
      </c>
      <c r="AT50" s="115">
        <f>SUM(AT26:AT49)</f>
        <v>0</v>
      </c>
    </row>
  </sheetData>
  <mergeCells count="7">
    <mergeCell ref="U1:U38"/>
    <mergeCell ref="W3:AC3"/>
    <mergeCell ref="W4:AC4"/>
    <mergeCell ref="W22:AC22"/>
    <mergeCell ref="AU22:BA22"/>
    <mergeCell ref="W23:AC23"/>
    <mergeCell ref="AU23:BA23"/>
  </mergeCells>
  <pageMargins left="0.27" right="0.25" top="0.43" bottom="0.4" header="0.3" footer="0.17"/>
  <pageSetup scale="73" orientation="portrait" r:id="rId1"/>
  <headerFooter>
    <oddFooter>&amp;L&amp;D &amp;F&amp;C30
&amp;R&amp;A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6">
    <pageSetUpPr fitToPage="1"/>
  </sheetPr>
  <dimension ref="A1:AU46"/>
  <sheetViews>
    <sheetView workbookViewId="0">
      <selection activeCell="C5" sqref="C5"/>
    </sheetView>
  </sheetViews>
  <sheetFormatPr defaultRowHeight="15" x14ac:dyDescent="0.25"/>
  <cols>
    <col min="1" max="1" width="2.42578125" customWidth="1"/>
    <col min="2" max="2" width="6.42578125" style="7" customWidth="1"/>
    <col min="3" max="3" width="4.140625" customWidth="1"/>
    <col min="4" max="4" width="26.85546875" customWidth="1"/>
    <col min="5" max="5" width="0.85546875" customWidth="1"/>
    <col min="6" max="6" width="16.7109375" customWidth="1"/>
    <col min="7" max="7" width="1.28515625" customWidth="1"/>
    <col min="8" max="8" width="16.7109375" customWidth="1"/>
    <col min="9" max="9" width="1.28515625" customWidth="1"/>
    <col min="10" max="10" width="16.7109375" customWidth="1"/>
    <col min="11" max="11" width="1.28515625" customWidth="1"/>
    <col min="12" max="12" width="16.7109375" customWidth="1"/>
    <col min="13" max="13" width="1.28515625" customWidth="1"/>
    <col min="14" max="14" width="16.7109375" customWidth="1"/>
    <col min="15" max="15" width="1.28515625" customWidth="1"/>
    <col min="16" max="16" width="16.7109375" customWidth="1"/>
    <col min="17" max="17" width="1.28515625" customWidth="1"/>
    <col min="18" max="18" width="17.4257812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4.42578125" hidden="1" customWidth="1"/>
    <col min="31" max="31" width="18" hidden="1" customWidth="1"/>
    <col min="32" max="32" width="19.42578125" hidden="1" customWidth="1"/>
    <col min="33" max="33" width="17.42578125" hidden="1" customWidth="1"/>
    <col min="34" max="34" width="16.140625" hidden="1" customWidth="1"/>
    <col min="35" max="54" width="0" hidden="1" customWidth="1"/>
  </cols>
  <sheetData>
    <row r="1" spans="1:47" ht="14.45" customHeight="1" x14ac:dyDescent="0.25">
      <c r="A1" s="404" t="str">
        <f>TOC!$A$1</f>
        <v xml:space="preserve">                  Eaton School District RE-2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5"/>
      <c r="U1" s="399" t="s">
        <v>234</v>
      </c>
    </row>
    <row r="2" spans="1:47" x14ac:dyDescent="0.25">
      <c r="A2" s="405" t="str">
        <f>+Cover!E11</f>
        <v xml:space="preserve">     Adopted Budget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5"/>
      <c r="U2" s="399"/>
    </row>
    <row r="3" spans="1:47" ht="16.5" thickBot="1" x14ac:dyDescent="0.3">
      <c r="A3" s="405" t="s">
        <v>425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5"/>
      <c r="U3" s="399"/>
      <c r="W3" s="400" t="s">
        <v>173</v>
      </c>
      <c r="X3" s="400"/>
      <c r="Y3" s="400"/>
      <c r="Z3" s="400"/>
      <c r="AA3" s="400"/>
      <c r="AB3" s="400"/>
      <c r="AC3" s="400"/>
    </row>
    <row r="4" spans="1:47" ht="16.5" thickBot="1" x14ac:dyDescent="0.3">
      <c r="A4" s="405" t="str">
        <f>+Cover!E14</f>
        <v xml:space="preserve">                   FY 2026/27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5"/>
      <c r="U4" s="399"/>
      <c r="W4" s="401" t="s">
        <v>273</v>
      </c>
      <c r="X4" s="401"/>
      <c r="Y4" s="401"/>
      <c r="Z4" s="401"/>
      <c r="AA4" s="401"/>
      <c r="AB4" s="401"/>
      <c r="AC4" s="401"/>
      <c r="AE4" s="70" t="e">
        <f>+'CapRes 43'!AE23</f>
        <v>#REF!</v>
      </c>
      <c r="AF4" s="70" t="e">
        <f>+'CapRes 43'!AF23</f>
        <v>#REF!</v>
      </c>
      <c r="AG4" s="70" t="e">
        <f>+'CapRes 43'!AG23</f>
        <v>#REF!</v>
      </c>
      <c r="AH4" s="70" t="e">
        <f>+'CapRes 43'!AH23</f>
        <v>#REF!</v>
      </c>
      <c r="AU4" t="s">
        <v>267</v>
      </c>
    </row>
    <row r="5" spans="1:47" ht="14.4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0" t="str">
        <f>'Activity 23'!P5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</row>
    <row r="6" spans="1:47" ht="15.75" thickBot="1" x14ac:dyDescent="0.3">
      <c r="F6" s="223" t="str">
        <f>'GF Summary 10'!$F$7</f>
        <v>FY 22-23</v>
      </c>
      <c r="G6" s="225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'Activity 23'!P6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70" t="e">
        <f>+'CapRes 43'!AE25</f>
        <v>#REF!</v>
      </c>
      <c r="AF6" s="70" t="e">
        <f>+'CapRes 43'!AF25</f>
        <v>#REF!</v>
      </c>
      <c r="AG6" s="70" t="e">
        <f>+'CapRes 43'!AG25</f>
        <v>#REF!</v>
      </c>
      <c r="AH6" s="70" t="e">
        <f>+'CapRes 43'!AH25</f>
        <v>#REF!</v>
      </c>
    </row>
    <row r="7" spans="1:47" x14ac:dyDescent="0.25">
      <c r="B7" s="7" t="s">
        <v>29</v>
      </c>
      <c r="F7" s="371"/>
      <c r="G7" s="217"/>
      <c r="H7" s="217"/>
      <c r="I7" s="217"/>
      <c r="J7" s="372"/>
      <c r="K7" s="211"/>
      <c r="L7" s="371"/>
      <c r="M7" s="217"/>
      <c r="N7" s="217"/>
      <c r="O7" s="217"/>
      <c r="P7" s="217"/>
      <c r="Q7" s="375"/>
      <c r="R7" s="372"/>
      <c r="S7" s="5"/>
      <c r="U7" s="399"/>
      <c r="W7" s="59"/>
      <c r="X7" s="59"/>
      <c r="Y7" s="59"/>
      <c r="Z7" s="59"/>
      <c r="AA7" s="59"/>
      <c r="AB7" s="59"/>
      <c r="AC7" s="59"/>
      <c r="AD7" s="59"/>
      <c r="AE7" s="90"/>
      <c r="AF7" s="90"/>
      <c r="AG7" s="90"/>
      <c r="AH7" s="91"/>
    </row>
    <row r="8" spans="1:47" x14ac:dyDescent="0.25">
      <c r="C8" t="s">
        <v>211</v>
      </c>
      <c r="F8" s="122">
        <v>450865</v>
      </c>
      <c r="G8" s="19"/>
      <c r="H8" s="19">
        <v>453536</v>
      </c>
      <c r="I8" s="19"/>
      <c r="J8" s="123">
        <v>514217</v>
      </c>
      <c r="K8" s="19"/>
      <c r="L8" s="122">
        <v>450346</v>
      </c>
      <c r="M8" s="19"/>
      <c r="N8" s="19">
        <v>525319</v>
      </c>
      <c r="O8" s="19"/>
      <c r="P8" s="19">
        <f>R8-L8</f>
        <v>74973</v>
      </c>
      <c r="Q8" s="239"/>
      <c r="R8" s="123">
        <v>525319</v>
      </c>
      <c r="S8" s="5"/>
      <c r="U8" s="39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2"/>
    </row>
    <row r="9" spans="1:47" x14ac:dyDescent="0.25">
      <c r="B9" s="7" t="s">
        <v>31</v>
      </c>
      <c r="F9" s="124">
        <f>SUM(F8:F8)</f>
        <v>450865</v>
      </c>
      <c r="G9" s="128"/>
      <c r="H9" s="126">
        <f>SUM(H8:H8)</f>
        <v>453536</v>
      </c>
      <c r="I9" s="128"/>
      <c r="J9" s="127">
        <f>SUM(J8:J8)</f>
        <v>514217</v>
      </c>
      <c r="K9" s="19"/>
      <c r="L9" s="124">
        <f>SUM(L8:L8)</f>
        <v>450346</v>
      </c>
      <c r="M9" s="128"/>
      <c r="N9" s="126">
        <f>SUM(N8:N8)</f>
        <v>525319</v>
      </c>
      <c r="O9" s="128"/>
      <c r="P9" s="126">
        <f>SUM(P8:P8)</f>
        <v>74973</v>
      </c>
      <c r="Q9" s="239"/>
      <c r="R9" s="127">
        <f>SUM(R8:R8)</f>
        <v>525319</v>
      </c>
      <c r="S9" s="5"/>
      <c r="U9" s="39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2"/>
    </row>
    <row r="10" spans="1:47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39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2"/>
    </row>
    <row r="11" spans="1:47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2"/>
    </row>
    <row r="12" spans="1:47" x14ac:dyDescent="0.25">
      <c r="C12" t="s">
        <v>33</v>
      </c>
      <c r="F12" s="122">
        <v>3371</v>
      </c>
      <c r="G12" s="19"/>
      <c r="H12" s="19">
        <v>61181</v>
      </c>
      <c r="I12" s="19"/>
      <c r="J12" s="123">
        <f>310+23792</f>
        <v>24102</v>
      </c>
      <c r="K12" s="19"/>
      <c r="L12" s="122">
        <v>22160</v>
      </c>
      <c r="M12" s="19"/>
      <c r="N12" s="19">
        <v>22160</v>
      </c>
      <c r="O12" s="19"/>
      <c r="P12" s="19">
        <f t="shared" ref="P12:P15" si="0">R12-L12</f>
        <v>10350</v>
      </c>
      <c r="Q12" s="239"/>
      <c r="R12" s="123">
        <v>32510</v>
      </c>
      <c r="U12" s="39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2"/>
    </row>
    <row r="13" spans="1:47" x14ac:dyDescent="0.25">
      <c r="C13" t="s">
        <v>35</v>
      </c>
      <c r="F13" s="122">
        <v>0</v>
      </c>
      <c r="G13" s="19"/>
      <c r="H13" s="19">
        <v>0</v>
      </c>
      <c r="I13" s="19"/>
      <c r="J13" s="123">
        <v>0</v>
      </c>
      <c r="K13" s="19"/>
      <c r="L13" s="122">
        <v>0</v>
      </c>
      <c r="M13" s="19"/>
      <c r="N13" s="19">
        <f t="shared" ref="N13:N15" si="1">P13-J13</f>
        <v>0</v>
      </c>
      <c r="O13" s="19"/>
      <c r="P13" s="19">
        <f t="shared" si="0"/>
        <v>0</v>
      </c>
      <c r="Q13" s="239"/>
      <c r="R13" s="123">
        <v>0</v>
      </c>
      <c r="U13" s="39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2"/>
    </row>
    <row r="14" spans="1:47" x14ac:dyDescent="0.25">
      <c r="C14" t="s">
        <v>36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v>0</v>
      </c>
      <c r="M14" s="19"/>
      <c r="N14" s="19">
        <f t="shared" si="1"/>
        <v>0</v>
      </c>
      <c r="O14" s="19"/>
      <c r="P14" s="19">
        <f t="shared" si="0"/>
        <v>0</v>
      </c>
      <c r="Q14" s="239"/>
      <c r="R14" s="123">
        <v>0</v>
      </c>
      <c r="U14" s="39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2"/>
    </row>
    <row r="15" spans="1:47" x14ac:dyDescent="0.25">
      <c r="C15" t="s">
        <v>68</v>
      </c>
      <c r="F15" s="131">
        <v>0</v>
      </c>
      <c r="G15" s="19"/>
      <c r="H15" s="132">
        <v>0</v>
      </c>
      <c r="I15" s="19"/>
      <c r="J15" s="133">
        <v>0</v>
      </c>
      <c r="K15" s="19"/>
      <c r="L15" s="131">
        <v>0</v>
      </c>
      <c r="M15" s="19"/>
      <c r="N15" s="132">
        <f t="shared" si="1"/>
        <v>0</v>
      </c>
      <c r="O15" s="19"/>
      <c r="P15" s="132">
        <f t="shared" si="0"/>
        <v>0</v>
      </c>
      <c r="Q15" s="239"/>
      <c r="R15" s="133">
        <v>0</v>
      </c>
      <c r="U15" s="39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2"/>
    </row>
    <row r="16" spans="1:47" x14ac:dyDescent="0.25">
      <c r="B16" s="7" t="s">
        <v>37</v>
      </c>
      <c r="F16" s="122">
        <f>SUM(F11:F15)</f>
        <v>3371</v>
      </c>
      <c r="G16" s="19"/>
      <c r="H16" s="19">
        <f>SUM(H11:H15)</f>
        <v>61181</v>
      </c>
      <c r="I16" s="19"/>
      <c r="J16" s="123">
        <f>SUM(J12:J15)</f>
        <v>24102</v>
      </c>
      <c r="K16" s="19"/>
      <c r="L16" s="122">
        <f>SUM(L11:L15)</f>
        <v>22160</v>
      </c>
      <c r="M16" s="19"/>
      <c r="N16" s="19">
        <f>SUM(N11:N15)</f>
        <v>22160</v>
      </c>
      <c r="O16" s="19"/>
      <c r="P16" s="19">
        <f>SUM(P11:P15)</f>
        <v>10350</v>
      </c>
      <c r="Q16" s="239"/>
      <c r="R16" s="123">
        <f>SUM(R11:R15)</f>
        <v>32510</v>
      </c>
      <c r="U16" s="39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2"/>
    </row>
    <row r="17" spans="2:34" x14ac:dyDescent="0.25">
      <c r="F17" s="122"/>
      <c r="G17" s="19"/>
      <c r="H17" s="19"/>
      <c r="I17" s="19"/>
      <c r="J17" s="123"/>
      <c r="K17" s="19"/>
      <c r="L17" s="122"/>
      <c r="M17" s="19"/>
      <c r="N17" s="19"/>
      <c r="O17" s="19"/>
      <c r="P17" s="19"/>
      <c r="Q17" s="239"/>
      <c r="R17" s="123"/>
      <c r="U17" s="39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2"/>
    </row>
    <row r="18" spans="2:34" x14ac:dyDescent="0.25">
      <c r="B18" s="7" t="s">
        <v>38</v>
      </c>
      <c r="F18" s="131">
        <f>F9+F16</f>
        <v>454236</v>
      </c>
      <c r="G18" s="19"/>
      <c r="H18" s="132">
        <f>H9+H16</f>
        <v>514717</v>
      </c>
      <c r="I18" s="19"/>
      <c r="J18" s="133">
        <f>J9+J16</f>
        <v>538319</v>
      </c>
      <c r="K18" s="19"/>
      <c r="L18" s="131">
        <f>L9+L16</f>
        <v>472506</v>
      </c>
      <c r="M18" s="19"/>
      <c r="N18" s="132">
        <f>N9+N16</f>
        <v>547479</v>
      </c>
      <c r="O18" s="19"/>
      <c r="P18" s="132">
        <f>P9+P16</f>
        <v>85323</v>
      </c>
      <c r="Q18" s="239"/>
      <c r="R18" s="133">
        <f>R9+R16</f>
        <v>557829</v>
      </c>
      <c r="U18" s="399"/>
    </row>
    <row r="19" spans="2:34" x14ac:dyDescent="0.25">
      <c r="F19" s="122"/>
      <c r="G19" s="19"/>
      <c r="H19" s="126"/>
      <c r="I19" s="19"/>
      <c r="J19" s="127"/>
      <c r="K19" s="19"/>
      <c r="L19" s="122"/>
      <c r="M19" s="19"/>
      <c r="N19" s="126"/>
      <c r="O19" s="19"/>
      <c r="P19" s="126"/>
      <c r="Q19" s="239"/>
      <c r="R19" s="127"/>
      <c r="U19" s="399"/>
    </row>
    <row r="20" spans="2:34" x14ac:dyDescent="0.25">
      <c r="B20" s="7" t="s">
        <v>39</v>
      </c>
      <c r="F20" s="122"/>
      <c r="G20" s="19"/>
      <c r="H20" s="19"/>
      <c r="I20" s="19"/>
      <c r="J20" s="123"/>
      <c r="K20" s="19"/>
      <c r="L20" s="122"/>
      <c r="M20" s="19"/>
      <c r="N20" s="19"/>
      <c r="O20" s="19"/>
      <c r="P20" s="19"/>
      <c r="Q20" s="239"/>
      <c r="R20" s="123"/>
      <c r="U20" s="399"/>
    </row>
    <row r="21" spans="2:34" x14ac:dyDescent="0.25">
      <c r="B21" s="87" t="s">
        <v>204</v>
      </c>
      <c r="C21" t="s">
        <v>60</v>
      </c>
      <c r="F21" s="122">
        <v>0</v>
      </c>
      <c r="G21" s="19"/>
      <c r="H21" s="19">
        <v>0</v>
      </c>
      <c r="I21" s="19"/>
      <c r="J21" s="123">
        <v>0</v>
      </c>
      <c r="K21" s="19"/>
      <c r="L21" s="122">
        <v>0</v>
      </c>
      <c r="M21" s="19"/>
      <c r="N21" s="19">
        <f t="shared" ref="N21:N29" si="2">P21-J21</f>
        <v>0</v>
      </c>
      <c r="O21" s="19"/>
      <c r="P21" s="19">
        <f t="shared" ref="P21:P29" si="3">R21-L21</f>
        <v>0</v>
      </c>
      <c r="Q21" s="239"/>
      <c r="R21" s="123">
        <v>0</v>
      </c>
      <c r="U21" s="399"/>
    </row>
    <row r="22" spans="2:34" x14ac:dyDescent="0.25">
      <c r="B22" s="87" t="s">
        <v>196</v>
      </c>
      <c r="C22" t="s">
        <v>61</v>
      </c>
      <c r="F22" s="122">
        <v>0</v>
      </c>
      <c r="G22" s="19"/>
      <c r="H22" s="19">
        <v>0</v>
      </c>
      <c r="I22" s="19"/>
      <c r="J22" s="123">
        <v>0</v>
      </c>
      <c r="K22" s="19"/>
      <c r="L22" s="122">
        <v>0</v>
      </c>
      <c r="M22" s="19"/>
      <c r="N22" s="19">
        <f t="shared" si="2"/>
        <v>0</v>
      </c>
      <c r="O22" s="19"/>
      <c r="P22" s="19">
        <f t="shared" si="3"/>
        <v>0</v>
      </c>
      <c r="Q22" s="239"/>
      <c r="R22" s="123">
        <v>0</v>
      </c>
      <c r="U22" s="399"/>
    </row>
    <row r="23" spans="2:34" x14ac:dyDescent="0.25">
      <c r="B23" s="87" t="s">
        <v>197</v>
      </c>
      <c r="C23" t="s">
        <v>62</v>
      </c>
      <c r="F23" s="122">
        <v>0</v>
      </c>
      <c r="G23" s="19"/>
      <c r="H23" s="19">
        <v>0</v>
      </c>
      <c r="I23" s="19"/>
      <c r="J23" s="123">
        <v>0</v>
      </c>
      <c r="K23" s="19"/>
      <c r="L23" s="122">
        <v>0</v>
      </c>
      <c r="M23" s="19"/>
      <c r="N23" s="19">
        <f t="shared" si="2"/>
        <v>0</v>
      </c>
      <c r="O23" s="19"/>
      <c r="P23" s="19">
        <f t="shared" si="3"/>
        <v>0</v>
      </c>
      <c r="Q23" s="239"/>
      <c r="R23" s="123">
        <v>0</v>
      </c>
      <c r="U23" s="399"/>
    </row>
    <row r="24" spans="2:34" x14ac:dyDescent="0.25">
      <c r="B24" s="87" t="s">
        <v>198</v>
      </c>
      <c r="C24" t="s">
        <v>63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19">
        <f t="shared" si="2"/>
        <v>0</v>
      </c>
      <c r="O24" s="19"/>
      <c r="P24" s="19">
        <f t="shared" si="3"/>
        <v>0</v>
      </c>
      <c r="Q24" s="239"/>
      <c r="R24" s="123">
        <v>0</v>
      </c>
      <c r="U24" s="399"/>
    </row>
    <row r="25" spans="2:34" x14ac:dyDescent="0.25">
      <c r="B25" s="87" t="s">
        <v>199</v>
      </c>
      <c r="C25" t="s">
        <v>49</v>
      </c>
      <c r="F25" s="122">
        <v>0</v>
      </c>
      <c r="G25" s="19"/>
      <c r="H25" s="19">
        <v>0</v>
      </c>
      <c r="I25" s="19"/>
      <c r="J25" s="123">
        <v>0</v>
      </c>
      <c r="K25" s="19"/>
      <c r="L25" s="122">
        <v>0</v>
      </c>
      <c r="M25" s="19"/>
      <c r="N25" s="19">
        <f t="shared" si="2"/>
        <v>0</v>
      </c>
      <c r="O25" s="19"/>
      <c r="P25" s="19">
        <f t="shared" si="3"/>
        <v>0</v>
      </c>
      <c r="Q25" s="239"/>
      <c r="R25" s="123">
        <v>0</v>
      </c>
      <c r="U25" s="399"/>
    </row>
    <row r="26" spans="2:34" x14ac:dyDescent="0.25">
      <c r="B26" s="87" t="s">
        <v>200</v>
      </c>
      <c r="C26" t="s">
        <v>64</v>
      </c>
      <c r="F26" s="122">
        <v>0</v>
      </c>
      <c r="G26" s="19"/>
      <c r="H26" s="19">
        <v>0</v>
      </c>
      <c r="I26" s="19"/>
      <c r="J26" s="123">
        <v>0</v>
      </c>
      <c r="K26" s="19"/>
      <c r="L26" s="122">
        <v>0</v>
      </c>
      <c r="M26" s="19"/>
      <c r="N26" s="19">
        <f t="shared" si="2"/>
        <v>0</v>
      </c>
      <c r="O26" s="19"/>
      <c r="P26" s="19">
        <f t="shared" si="3"/>
        <v>0</v>
      </c>
      <c r="Q26" s="239"/>
      <c r="R26" s="123">
        <v>0</v>
      </c>
      <c r="U26" s="399"/>
    </row>
    <row r="27" spans="2:34" x14ac:dyDescent="0.25">
      <c r="B27" s="87" t="s">
        <v>201</v>
      </c>
      <c r="C27" t="s">
        <v>65</v>
      </c>
      <c r="F27" s="122">
        <v>0</v>
      </c>
      <c r="G27" s="19"/>
      <c r="H27" s="19">
        <v>0</v>
      </c>
      <c r="I27" s="19"/>
      <c r="J27" s="123">
        <v>0</v>
      </c>
      <c r="K27" s="19"/>
      <c r="L27" s="122">
        <v>0</v>
      </c>
      <c r="M27" s="19"/>
      <c r="N27" s="19">
        <f t="shared" si="2"/>
        <v>0</v>
      </c>
      <c r="O27" s="19"/>
      <c r="P27" s="19">
        <f t="shared" si="3"/>
        <v>0</v>
      </c>
      <c r="Q27" s="239"/>
      <c r="R27" s="123">
        <v>0</v>
      </c>
      <c r="U27" s="399"/>
    </row>
    <row r="28" spans="2:34" x14ac:dyDescent="0.25">
      <c r="B28" s="87" t="s">
        <v>202</v>
      </c>
      <c r="C28" t="s">
        <v>66</v>
      </c>
      <c r="F28" s="122">
        <v>700</v>
      </c>
      <c r="G28" s="19"/>
      <c r="H28" s="19">
        <v>500</v>
      </c>
      <c r="I28" s="19"/>
      <c r="J28" s="123">
        <v>13000</v>
      </c>
      <c r="K28" s="19"/>
      <c r="L28" s="122">
        <v>22160</v>
      </c>
      <c r="M28" s="19"/>
      <c r="N28" s="19">
        <f>22160</f>
        <v>22160</v>
      </c>
      <c r="O28" s="19"/>
      <c r="P28" s="19">
        <f t="shared" si="3"/>
        <v>10350</v>
      </c>
      <c r="Q28" s="239"/>
      <c r="R28" s="123">
        <v>32510</v>
      </c>
      <c r="U28" s="399"/>
    </row>
    <row r="29" spans="2:34" x14ac:dyDescent="0.25">
      <c r="B29" s="87" t="s">
        <v>203</v>
      </c>
      <c r="C29" t="s">
        <v>67</v>
      </c>
      <c r="F29" s="131">
        <v>0</v>
      </c>
      <c r="G29" s="19"/>
      <c r="H29" s="132">
        <v>0</v>
      </c>
      <c r="I29" s="19"/>
      <c r="J29" s="133">
        <v>0</v>
      </c>
      <c r="K29" s="19"/>
      <c r="L29" s="131">
        <v>0</v>
      </c>
      <c r="M29" s="19"/>
      <c r="N29" s="132">
        <f t="shared" si="2"/>
        <v>0</v>
      </c>
      <c r="O29" s="19"/>
      <c r="P29" s="132">
        <f t="shared" si="3"/>
        <v>0</v>
      </c>
      <c r="Q29" s="239"/>
      <c r="R29" s="133">
        <v>0</v>
      </c>
      <c r="U29" s="399"/>
    </row>
    <row r="30" spans="2:34" x14ac:dyDescent="0.25">
      <c r="B30" s="7" t="s">
        <v>50</v>
      </c>
      <c r="F30" s="122">
        <f>SUM(F20:F29)</f>
        <v>700</v>
      </c>
      <c r="G30" s="19"/>
      <c r="H30" s="19">
        <f>SUM(H20:H29)</f>
        <v>500</v>
      </c>
      <c r="I30" s="19"/>
      <c r="J30" s="123">
        <f>SUM(J21:J29)</f>
        <v>13000</v>
      </c>
      <c r="K30" s="19"/>
      <c r="L30" s="122">
        <f>SUM(L20:L29)</f>
        <v>22160</v>
      </c>
      <c r="M30" s="19"/>
      <c r="N30" s="19">
        <f>SUM(N20:N29)</f>
        <v>22160</v>
      </c>
      <c r="O30" s="19"/>
      <c r="P30" s="19">
        <f>SUM(P20:P29)</f>
        <v>10350</v>
      </c>
      <c r="Q30" s="239"/>
      <c r="R30" s="123">
        <f>SUM(R20:R29)</f>
        <v>32510</v>
      </c>
      <c r="U30" s="399"/>
    </row>
    <row r="31" spans="2:34" x14ac:dyDescent="0.25">
      <c r="F31" s="122"/>
      <c r="G31" s="19"/>
      <c r="H31" s="19"/>
      <c r="I31" s="19"/>
      <c r="J31" s="123"/>
      <c r="K31" s="19"/>
      <c r="L31" s="122"/>
      <c r="M31" s="19"/>
      <c r="N31" s="19"/>
      <c r="O31" s="19"/>
      <c r="P31" s="19"/>
      <c r="Q31" s="239"/>
      <c r="R31" s="123"/>
      <c r="U31" s="399"/>
    </row>
    <row r="32" spans="2:34" ht="15.75" thickBot="1" x14ac:dyDescent="0.3">
      <c r="D32" s="53" t="s">
        <v>193</v>
      </c>
      <c r="F32" s="134">
        <f>+F16-F30</f>
        <v>2671</v>
      </c>
      <c r="G32" s="135"/>
      <c r="H32" s="135">
        <f>+H16-H30</f>
        <v>60681</v>
      </c>
      <c r="I32" s="135"/>
      <c r="J32" s="136">
        <f>+J16-J30</f>
        <v>11102</v>
      </c>
      <c r="K32" s="135"/>
      <c r="L32" s="134">
        <f>+L16-L30</f>
        <v>0</v>
      </c>
      <c r="M32" s="135"/>
      <c r="N32" s="135">
        <f>+N16-N30</f>
        <v>0</v>
      </c>
      <c r="O32" s="135"/>
      <c r="P32" s="135">
        <f>+P16-P30</f>
        <v>0</v>
      </c>
      <c r="Q32" s="243"/>
      <c r="R32" s="136">
        <f>+R16-R30</f>
        <v>0</v>
      </c>
      <c r="U32" s="399"/>
    </row>
    <row r="33" spans="2:30" ht="15.75" thickTop="1" x14ac:dyDescent="0.25">
      <c r="B33" s="7" t="s">
        <v>53</v>
      </c>
      <c r="F33" s="122"/>
      <c r="G33" s="19"/>
      <c r="H33" s="19"/>
      <c r="I33" s="19"/>
      <c r="J33" s="123"/>
      <c r="K33" s="19"/>
      <c r="L33" s="122"/>
      <c r="M33" s="19"/>
      <c r="N33" s="19"/>
      <c r="O33" s="19"/>
      <c r="P33" s="19"/>
      <c r="Q33" s="239"/>
      <c r="R33" s="123"/>
      <c r="U33" s="399"/>
    </row>
    <row r="34" spans="2:30" ht="15.75" thickBot="1" x14ac:dyDescent="0.3">
      <c r="C34" t="s">
        <v>211</v>
      </c>
      <c r="F34" s="131">
        <f>F9+F32</f>
        <v>453536</v>
      </c>
      <c r="G34" s="19"/>
      <c r="H34" s="132">
        <f>H9+H32</f>
        <v>514217</v>
      </c>
      <c r="I34" s="19"/>
      <c r="J34" s="133">
        <f>J9+J32</f>
        <v>525319</v>
      </c>
      <c r="K34" s="19"/>
      <c r="L34" s="131">
        <f>L9+L32</f>
        <v>450346</v>
      </c>
      <c r="M34" s="19"/>
      <c r="N34" s="132">
        <f>N9+N32</f>
        <v>525319</v>
      </c>
      <c r="O34" s="19"/>
      <c r="P34" s="132">
        <f t="shared" ref="P34" si="4">R34-L34</f>
        <v>74973</v>
      </c>
      <c r="Q34" s="239"/>
      <c r="R34" s="133">
        <f>R9+R32</f>
        <v>525319</v>
      </c>
      <c r="U34" s="399"/>
      <c r="X34" s="186" t="s">
        <v>301</v>
      </c>
      <c r="Y34" s="186"/>
      <c r="Z34" s="186"/>
      <c r="AA34" s="186"/>
    </row>
    <row r="35" spans="2:30" ht="15.75" thickBot="1" x14ac:dyDescent="0.3">
      <c r="B35" s="7" t="s">
        <v>137</v>
      </c>
      <c r="F35" s="137">
        <f>SUM(F33:F34)</f>
        <v>453536</v>
      </c>
      <c r="G35" s="138"/>
      <c r="H35" s="138">
        <f>SUM(H33:H34)</f>
        <v>514217</v>
      </c>
      <c r="I35" s="138"/>
      <c r="J35" s="140">
        <f>SUM(J33:J34)</f>
        <v>525319</v>
      </c>
      <c r="K35" s="19"/>
      <c r="L35" s="137">
        <f>SUM(L33:L34)</f>
        <v>450346</v>
      </c>
      <c r="M35" s="138"/>
      <c r="N35" s="138">
        <f>SUM(N33:N34)</f>
        <v>525319</v>
      </c>
      <c r="O35" s="138"/>
      <c r="P35" s="138">
        <f>SUM(P33:P34)</f>
        <v>74973</v>
      </c>
      <c r="Q35" s="239"/>
      <c r="R35" s="140">
        <f>SUM(R33:R34)</f>
        <v>525319</v>
      </c>
      <c r="U35" s="399"/>
      <c r="W35" s="112" t="s">
        <v>370</v>
      </c>
      <c r="X35" s="112" t="s">
        <v>292</v>
      </c>
      <c r="Y35" s="112" t="s">
        <v>277</v>
      </c>
      <c r="Z35" s="112" t="s">
        <v>356</v>
      </c>
      <c r="AA35" s="112" t="s">
        <v>127</v>
      </c>
      <c r="AB35" s="112" t="s">
        <v>276</v>
      </c>
      <c r="AC35" s="112" t="s">
        <v>278</v>
      </c>
      <c r="AD35" s="183" t="s">
        <v>368</v>
      </c>
    </row>
    <row r="36" spans="2:30" ht="15.75" thickBot="1" x14ac:dyDescent="0.3">
      <c r="F36" s="105"/>
      <c r="G36" s="105"/>
      <c r="H36" s="105"/>
      <c r="I36" s="105"/>
      <c r="J36" s="53"/>
      <c r="K36" s="105"/>
      <c r="L36" s="105"/>
      <c r="M36" s="105"/>
      <c r="N36" s="105"/>
      <c r="O36" s="105"/>
      <c r="P36" s="105"/>
      <c r="Q36" s="105"/>
      <c r="R36" s="105"/>
      <c r="U36" s="399"/>
    </row>
    <row r="37" spans="2:30" ht="15.75" thickBot="1" x14ac:dyDescent="0.3">
      <c r="F37" s="105"/>
      <c r="G37" s="105"/>
      <c r="H37" s="105"/>
      <c r="I37" s="105"/>
      <c r="J37" s="53" t="s">
        <v>268</v>
      </c>
      <c r="K37" s="105"/>
      <c r="L37" s="143">
        <f>+L35+L30</f>
        <v>472506</v>
      </c>
      <c r="M37" s="88"/>
      <c r="N37" s="88"/>
      <c r="O37" s="88"/>
      <c r="P37" s="88"/>
      <c r="Q37" s="105"/>
      <c r="R37" s="143">
        <f>+R35+R30</f>
        <v>557829</v>
      </c>
      <c r="U37" s="399"/>
    </row>
    <row r="38" spans="2:30" x14ac:dyDescent="0.25">
      <c r="J38" s="53"/>
      <c r="U38" s="399"/>
    </row>
    <row r="39" spans="2:30" x14ac:dyDescent="0.25">
      <c r="U39" s="399"/>
    </row>
    <row r="40" spans="2:30" x14ac:dyDescent="0.25">
      <c r="U40" s="399"/>
    </row>
    <row r="41" spans="2:30" x14ac:dyDescent="0.25">
      <c r="U41" s="399"/>
    </row>
    <row r="42" spans="2:30" x14ac:dyDescent="0.25">
      <c r="U42" s="399"/>
    </row>
    <row r="43" spans="2:30" x14ac:dyDescent="0.25">
      <c r="U43" s="399"/>
    </row>
    <row r="44" spans="2:30" x14ac:dyDescent="0.25">
      <c r="U44" s="399"/>
    </row>
    <row r="45" spans="2:30" x14ac:dyDescent="0.25">
      <c r="U45" s="399"/>
    </row>
    <row r="46" spans="2:30" x14ac:dyDescent="0.25">
      <c r="U46" s="399"/>
    </row>
  </sheetData>
  <mergeCells count="7">
    <mergeCell ref="W4:AC4"/>
    <mergeCell ref="W3:AC3"/>
    <mergeCell ref="U1:U46"/>
    <mergeCell ref="A1:R1"/>
    <mergeCell ref="A2:R2"/>
    <mergeCell ref="A3:R3"/>
    <mergeCell ref="A4:R4"/>
  </mergeCells>
  <pageMargins left="0.27" right="0.25" top="0.43" bottom="0.4" header="0.3" footer="0.17"/>
  <pageSetup scale="78" orientation="portrait" r:id="rId1"/>
  <headerFooter>
    <oddFooter>&amp;L&amp;D &amp;F&amp;C31&amp;R&amp;A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E041-E95C-4838-98FF-62D0B9A8BD48}">
  <dimension ref="A1:BA200"/>
  <sheetViews>
    <sheetView view="pageBreakPreview" zoomScale="80" zoomScaleNormal="70" zoomScaleSheetLayoutView="80" zoomScalePageLayoutView="6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ColWidth="7.5703125" defaultRowHeight="15" zeroHeight="1" outlineLevelCol="1" x14ac:dyDescent="0.25"/>
  <cols>
    <col min="1" max="1" width="1.42578125" style="259" customWidth="1"/>
    <col min="2" max="2" width="68.42578125" style="362" customWidth="1"/>
    <col min="3" max="3" width="18.42578125" style="261" customWidth="1"/>
    <col min="4" max="4" width="1.42578125" style="262" customWidth="1"/>
    <col min="5" max="5" width="20.28515625" style="263" customWidth="1"/>
    <col min="6" max="6" width="1.42578125" style="264" customWidth="1"/>
    <col min="7" max="7" width="20.28515625" style="263" customWidth="1" outlineLevel="1"/>
    <col min="8" max="8" width="1.42578125" style="264" customWidth="1" outlineLevel="1"/>
    <col min="9" max="9" width="20.28515625" style="263" customWidth="1" outlineLevel="1"/>
    <col min="10" max="10" width="1.42578125" style="264" customWidth="1" outlineLevel="1"/>
    <col min="11" max="11" width="20.28515625" style="263" customWidth="1"/>
    <col min="12" max="12" width="1.42578125" style="264" customWidth="1"/>
    <col min="13" max="13" width="20.28515625" style="263" customWidth="1"/>
    <col min="14" max="14" width="1.42578125" style="264" customWidth="1"/>
    <col min="15" max="15" width="20.28515625" style="263" customWidth="1"/>
    <col min="16" max="16" width="1.42578125" style="264" customWidth="1"/>
    <col min="17" max="17" width="20.28515625" style="263" customWidth="1" outlineLevel="1"/>
    <col min="18" max="18" width="1.42578125" style="264" customWidth="1" outlineLevel="1"/>
    <col min="19" max="19" width="20.28515625" style="263" hidden="1" customWidth="1" outlineLevel="1"/>
    <col min="20" max="20" width="1.42578125" style="264" hidden="1" customWidth="1" outlineLevel="1"/>
    <col min="21" max="21" width="20.28515625" style="263" hidden="1" customWidth="1" outlineLevel="1"/>
    <col min="22" max="22" width="1.42578125" style="264" hidden="1" customWidth="1" outlineLevel="1"/>
    <col min="23" max="23" width="20.28515625" style="263" customWidth="1"/>
    <col min="24" max="24" width="1.42578125" style="264" customWidth="1"/>
    <col min="25" max="25" width="20.28515625" style="263" customWidth="1"/>
    <col min="26" max="26" width="1.42578125" style="264" customWidth="1"/>
    <col min="27" max="27" width="20.28515625" style="263" customWidth="1"/>
    <col min="28" max="28" width="1.42578125" style="264" customWidth="1"/>
    <col min="29" max="29" width="20.28515625" style="263" hidden="1" customWidth="1"/>
    <col min="30" max="30" width="1.42578125" style="264" hidden="1" customWidth="1"/>
    <col min="31" max="31" width="20.28515625" style="263" customWidth="1"/>
    <col min="32" max="32" width="1.42578125" style="264" customWidth="1"/>
    <col min="33" max="33" width="20.28515625" style="263" customWidth="1"/>
    <col min="34" max="34" width="1.42578125" style="264" customWidth="1"/>
    <col min="35" max="35" width="20.28515625" style="263" customWidth="1"/>
    <col min="36" max="36" width="1.42578125" style="264" customWidth="1"/>
    <col min="37" max="37" width="20.28515625" style="263" hidden="1" customWidth="1" outlineLevel="1"/>
    <col min="38" max="38" width="1.42578125" style="264" hidden="1" customWidth="1" outlineLevel="1"/>
    <col min="39" max="39" width="20.28515625" style="263" hidden="1" customWidth="1" collapsed="1"/>
    <col min="40" max="40" width="1.42578125" style="264" hidden="1" customWidth="1"/>
    <col min="41" max="41" width="20.28515625" style="263" customWidth="1"/>
    <col min="42" max="42" width="1.42578125" style="262" customWidth="1"/>
    <col min="43" max="43" width="7.5703125" style="262" customWidth="1"/>
    <col min="44" max="44" width="8.28515625" style="266" bestFit="1" customWidth="1"/>
    <col min="45" max="45" width="12.140625" style="266" bestFit="1" customWidth="1"/>
    <col min="46" max="48" width="7.5703125" style="266"/>
    <col min="49" max="49" width="9.42578125" style="266" bestFit="1" customWidth="1"/>
    <col min="50" max="50" width="7.5703125" style="266"/>
    <col min="51" max="51" width="9.42578125" style="266" bestFit="1" customWidth="1"/>
    <col min="52" max="52" width="7.5703125" style="266"/>
    <col min="53" max="53" width="8.28515625" style="266" bestFit="1" customWidth="1"/>
    <col min="54" max="16384" width="7.5703125" style="266"/>
  </cols>
  <sheetData>
    <row r="1" spans="1:44" ht="30.75" customHeight="1" thickBot="1" x14ac:dyDescent="0.45">
      <c r="B1" s="260" t="s">
        <v>516</v>
      </c>
      <c r="AK1" s="263" t="s">
        <v>56</v>
      </c>
      <c r="AO1" s="265"/>
    </row>
    <row r="2" spans="1:44" s="281" customFormat="1" ht="93.75" customHeight="1" x14ac:dyDescent="0.3">
      <c r="A2" s="267"/>
      <c r="B2" s="268" t="s">
        <v>517</v>
      </c>
      <c r="C2" s="269" t="s">
        <v>443</v>
      </c>
      <c r="D2" s="270"/>
      <c r="E2" s="271" t="s">
        <v>89</v>
      </c>
      <c r="F2" s="272"/>
      <c r="G2" s="273" t="s">
        <v>444</v>
      </c>
      <c r="H2" s="274"/>
      <c r="I2" s="273" t="s">
        <v>445</v>
      </c>
      <c r="J2" s="272"/>
      <c r="K2" s="273" t="s">
        <v>90</v>
      </c>
      <c r="L2" s="272"/>
      <c r="M2" s="273" t="s">
        <v>446</v>
      </c>
      <c r="N2" s="272"/>
      <c r="O2" s="275" t="s">
        <v>447</v>
      </c>
      <c r="P2" s="272"/>
      <c r="Q2" s="276" t="s">
        <v>448</v>
      </c>
      <c r="R2" s="274"/>
      <c r="S2" s="277" t="s">
        <v>91</v>
      </c>
      <c r="T2" s="278"/>
      <c r="U2" s="277" t="s">
        <v>449</v>
      </c>
      <c r="V2" s="279"/>
      <c r="W2" s="273" t="s">
        <v>426</v>
      </c>
      <c r="X2" s="280"/>
      <c r="Y2" s="273" t="s">
        <v>428</v>
      </c>
      <c r="Z2" s="280"/>
      <c r="AA2" s="273" t="s">
        <v>427</v>
      </c>
      <c r="AB2" s="280"/>
      <c r="AC2" s="273" t="s">
        <v>92</v>
      </c>
      <c r="AD2" s="280"/>
      <c r="AE2" s="273" t="s">
        <v>450</v>
      </c>
      <c r="AF2" s="280"/>
      <c r="AG2" s="273" t="s">
        <v>451</v>
      </c>
      <c r="AH2" s="280"/>
      <c r="AI2" s="273" t="s">
        <v>452</v>
      </c>
      <c r="AJ2" s="280"/>
      <c r="AK2" s="277" t="s">
        <v>453</v>
      </c>
      <c r="AL2" s="280"/>
      <c r="AM2" s="277" t="s">
        <v>454</v>
      </c>
      <c r="AN2" s="280"/>
      <c r="AO2" s="271" t="s">
        <v>93</v>
      </c>
      <c r="AP2" s="270"/>
      <c r="AQ2" s="262"/>
    </row>
    <row r="3" spans="1:44" s="281" customFormat="1" ht="42.75" customHeight="1" thickBot="1" x14ac:dyDescent="0.35">
      <c r="A3" s="267"/>
      <c r="B3" s="282" t="s">
        <v>518</v>
      </c>
      <c r="C3" s="283"/>
      <c r="D3" s="267"/>
      <c r="E3" s="284" t="s">
        <v>519</v>
      </c>
      <c r="F3" s="285"/>
      <c r="G3" s="284" t="str">
        <f>E3</f>
        <v>FY2026-2027 Budget</v>
      </c>
      <c r="H3" s="274"/>
      <c r="I3" s="284" t="str">
        <f>E3</f>
        <v>FY2026-2027 Budget</v>
      </c>
      <c r="J3" s="285"/>
      <c r="K3" s="284" t="str">
        <f>E3</f>
        <v>FY2026-2027 Budget</v>
      </c>
      <c r="L3" s="285"/>
      <c r="M3" s="284" t="str">
        <f>E3</f>
        <v>FY2026-2027 Budget</v>
      </c>
      <c r="N3" s="285"/>
      <c r="O3" s="284" t="str">
        <f>E3</f>
        <v>FY2026-2027 Budget</v>
      </c>
      <c r="P3" s="285"/>
      <c r="Q3" s="284" t="str">
        <f>E3</f>
        <v>FY2026-2027 Budget</v>
      </c>
      <c r="R3" s="285"/>
      <c r="S3" s="286" t="s">
        <v>455</v>
      </c>
      <c r="T3" s="287"/>
      <c r="U3" s="286" t="s">
        <v>455</v>
      </c>
      <c r="V3" s="288"/>
      <c r="W3" s="284" t="str">
        <f>E3</f>
        <v>FY2026-2027 Budget</v>
      </c>
      <c r="X3" s="285"/>
      <c r="Y3" s="284" t="str">
        <f>E3</f>
        <v>FY2026-2027 Budget</v>
      </c>
      <c r="Z3" s="285"/>
      <c r="AA3" s="284" t="str">
        <f>E3</f>
        <v>FY2026-2027 Budget</v>
      </c>
      <c r="AB3" s="285"/>
      <c r="AC3" s="284" t="str">
        <f>E3</f>
        <v>FY2026-2027 Budget</v>
      </c>
      <c r="AD3" s="285"/>
      <c r="AE3" s="284" t="str">
        <f>E3</f>
        <v>FY2026-2027 Budget</v>
      </c>
      <c r="AF3" s="285"/>
      <c r="AG3" s="284" t="str">
        <f>E3</f>
        <v>FY2026-2027 Budget</v>
      </c>
      <c r="AH3" s="285"/>
      <c r="AI3" s="284" t="str">
        <f>E3</f>
        <v>FY2026-2027 Budget</v>
      </c>
      <c r="AJ3" s="285"/>
      <c r="AK3" s="286" t="s">
        <v>456</v>
      </c>
      <c r="AL3" s="285"/>
      <c r="AM3" s="286" t="s">
        <v>455</v>
      </c>
      <c r="AN3" s="285"/>
      <c r="AO3" s="284" t="str">
        <f>E3</f>
        <v>FY2026-2027 Budget</v>
      </c>
      <c r="AP3" s="267"/>
      <c r="AQ3" s="262"/>
    </row>
    <row r="4" spans="1:44" s="281" customFormat="1" ht="8.25" customHeight="1" x14ac:dyDescent="0.3">
      <c r="A4" s="267"/>
      <c r="B4" s="289"/>
      <c r="C4" s="290"/>
      <c r="D4" s="267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67"/>
      <c r="AQ4" s="262"/>
    </row>
    <row r="5" spans="1:44" s="281" customFormat="1" ht="8.4499999999999993" customHeight="1" x14ac:dyDescent="0.3">
      <c r="A5" s="267"/>
      <c r="B5" s="289"/>
      <c r="C5" s="291"/>
      <c r="D5" s="267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67"/>
      <c r="AQ5" s="262"/>
    </row>
    <row r="6" spans="1:44" s="281" customFormat="1" ht="21.2" customHeight="1" x14ac:dyDescent="0.3">
      <c r="A6" s="267"/>
      <c r="B6" s="292"/>
      <c r="C6" s="293"/>
      <c r="D6" s="267"/>
      <c r="E6" s="294"/>
      <c r="F6" s="295"/>
      <c r="G6" s="294"/>
      <c r="H6" s="295"/>
      <c r="I6" s="294"/>
      <c r="J6" s="295"/>
      <c r="K6" s="294"/>
      <c r="L6" s="295"/>
      <c r="M6" s="294"/>
      <c r="N6" s="295"/>
      <c r="O6" s="294"/>
      <c r="P6" s="295"/>
      <c r="Q6" s="294"/>
      <c r="R6" s="295"/>
      <c r="S6" s="294"/>
      <c r="T6" s="295"/>
      <c r="U6" s="294"/>
      <c r="V6" s="295"/>
      <c r="W6" s="294"/>
      <c r="X6" s="295"/>
      <c r="Y6" s="294"/>
      <c r="Z6" s="295"/>
      <c r="AA6" s="294"/>
      <c r="AB6" s="295"/>
      <c r="AC6" s="294"/>
      <c r="AD6" s="295"/>
      <c r="AE6" s="294"/>
      <c r="AF6" s="295"/>
      <c r="AG6" s="294"/>
      <c r="AH6" s="295"/>
      <c r="AI6" s="294"/>
      <c r="AJ6" s="295"/>
      <c r="AK6" s="296" t="s">
        <v>457</v>
      </c>
      <c r="AL6" s="295"/>
      <c r="AM6" s="294"/>
      <c r="AN6" s="295"/>
      <c r="AO6" s="294"/>
      <c r="AP6" s="267"/>
      <c r="AQ6" s="262"/>
    </row>
    <row r="7" spans="1:44" s="281" customFormat="1" ht="37.5" customHeight="1" x14ac:dyDescent="0.3">
      <c r="A7" s="297"/>
      <c r="B7" s="298" t="s">
        <v>458</v>
      </c>
      <c r="D7" s="297"/>
      <c r="E7" s="299">
        <f>15619383+1+834507+663264</f>
        <v>17117155</v>
      </c>
      <c r="F7" s="300"/>
      <c r="G7" s="299">
        <v>289359</v>
      </c>
      <c r="H7" s="300"/>
      <c r="I7" s="301">
        <v>0</v>
      </c>
      <c r="J7" s="300"/>
      <c r="K7" s="299">
        <v>0</v>
      </c>
      <c r="L7" s="300"/>
      <c r="M7" s="299">
        <f>277663+52913</f>
        <v>330576</v>
      </c>
      <c r="N7" s="300"/>
      <c r="O7" s="299">
        <v>0</v>
      </c>
      <c r="P7" s="300"/>
      <c r="Q7" s="299">
        <v>134151</v>
      </c>
      <c r="R7" s="300"/>
      <c r="S7" s="299">
        <v>0</v>
      </c>
      <c r="T7" s="300"/>
      <c r="U7" s="299">
        <v>0</v>
      </c>
      <c r="V7" s="300"/>
      <c r="W7" s="299">
        <f>995730+817600</f>
        <v>1813330</v>
      </c>
      <c r="X7" s="300"/>
      <c r="Y7" s="299">
        <f>453536-17845+78423</f>
        <v>514114</v>
      </c>
      <c r="Z7" s="300"/>
      <c r="AA7" s="299">
        <f>10306942+401490</f>
        <v>10708432</v>
      </c>
      <c r="AB7" s="300"/>
      <c r="AC7" s="299">
        <v>0</v>
      </c>
      <c r="AD7" s="300"/>
      <c r="AE7" s="299">
        <v>20137886</v>
      </c>
      <c r="AF7" s="300"/>
      <c r="AG7" s="299">
        <f>1002765+44753+53977</f>
        <v>1101495</v>
      </c>
      <c r="AH7" s="300"/>
      <c r="AI7" s="299">
        <f>450346+74973</f>
        <v>525319</v>
      </c>
      <c r="AJ7" s="300"/>
      <c r="AK7" s="299">
        <v>0</v>
      </c>
      <c r="AL7" s="300"/>
      <c r="AM7" s="299">
        <v>0</v>
      </c>
      <c r="AN7" s="300"/>
      <c r="AO7" s="302">
        <f>E7+K7+G7+I7+M7+O7+Q7+S7+U7+W7+Y7+AA7+AC7+AE7+AG7+AI7+AK7+AM7</f>
        <v>52671817</v>
      </c>
      <c r="AP7" s="297"/>
      <c r="AQ7" s="262"/>
      <c r="AR7" s="303"/>
    </row>
    <row r="8" spans="1:44" s="281" customFormat="1" ht="36.75" customHeight="1" x14ac:dyDescent="0.3">
      <c r="A8" s="267"/>
      <c r="C8" s="304"/>
      <c r="D8" s="267"/>
      <c r="E8" s="305"/>
      <c r="F8" s="306"/>
      <c r="G8" s="305"/>
      <c r="H8" s="306"/>
      <c r="I8" s="305"/>
      <c r="J8" s="306"/>
      <c r="K8" s="305"/>
      <c r="L8" s="306"/>
      <c r="M8" s="305"/>
      <c r="N8" s="306"/>
      <c r="O8" s="305"/>
      <c r="P8" s="306"/>
      <c r="Q8" s="305"/>
      <c r="R8" s="306"/>
      <c r="S8" s="305"/>
      <c r="T8" s="306"/>
      <c r="U8" s="305"/>
      <c r="V8" s="306"/>
      <c r="W8" s="305"/>
      <c r="X8" s="306"/>
      <c r="Y8" s="305"/>
      <c r="Z8" s="306"/>
      <c r="AA8" s="305"/>
      <c r="AB8" s="306"/>
      <c r="AC8" s="305"/>
      <c r="AD8" s="306"/>
      <c r="AE8" s="305"/>
      <c r="AF8" s="306"/>
      <c r="AG8" s="305"/>
      <c r="AH8" s="306"/>
      <c r="AI8" s="305"/>
      <c r="AJ8" s="306"/>
      <c r="AK8" s="305"/>
      <c r="AL8" s="306"/>
      <c r="AM8" s="305"/>
      <c r="AN8" s="306"/>
      <c r="AO8" s="307"/>
      <c r="AP8" s="267"/>
      <c r="AQ8" s="262"/>
    </row>
    <row r="9" spans="1:44" s="312" customFormat="1" ht="20.25" customHeight="1" x14ac:dyDescent="0.35">
      <c r="A9" s="297"/>
      <c r="B9" s="308" t="s">
        <v>459</v>
      </c>
      <c r="C9" s="309"/>
      <c r="D9" s="310"/>
      <c r="E9" s="299"/>
      <c r="F9" s="300"/>
      <c r="G9" s="299"/>
      <c r="H9" s="300"/>
      <c r="I9" s="299"/>
      <c r="J9" s="300"/>
      <c r="K9" s="299"/>
      <c r="L9" s="300"/>
      <c r="M9" s="299"/>
      <c r="N9" s="300"/>
      <c r="O9" s="299"/>
      <c r="P9" s="300"/>
      <c r="Q9" s="299"/>
      <c r="R9" s="300"/>
      <c r="S9" s="299"/>
      <c r="T9" s="300"/>
      <c r="U9" s="299"/>
      <c r="V9" s="300"/>
      <c r="W9" s="299"/>
      <c r="X9" s="300"/>
      <c r="Y9" s="299"/>
      <c r="Z9" s="300"/>
      <c r="AA9" s="299"/>
      <c r="AB9" s="300"/>
      <c r="AC9" s="299"/>
      <c r="AD9" s="300"/>
      <c r="AE9" s="299"/>
      <c r="AF9" s="300"/>
      <c r="AG9" s="299"/>
      <c r="AH9" s="300"/>
      <c r="AI9" s="299"/>
      <c r="AJ9" s="300"/>
      <c r="AK9" s="299"/>
      <c r="AL9" s="300"/>
      <c r="AM9" s="299"/>
      <c r="AN9" s="300"/>
      <c r="AO9" s="311"/>
      <c r="AP9" s="297"/>
      <c r="AQ9" s="262"/>
    </row>
    <row r="10" spans="1:44" s="312" customFormat="1" ht="20.25" customHeight="1" x14ac:dyDescent="0.3">
      <c r="A10" s="297"/>
      <c r="B10" s="298" t="s">
        <v>94</v>
      </c>
      <c r="C10" s="309" t="s">
        <v>95</v>
      </c>
      <c r="D10" s="310"/>
      <c r="E10" s="299">
        <v>27748739</v>
      </c>
      <c r="F10" s="300"/>
      <c r="G10" s="299">
        <v>764700</v>
      </c>
      <c r="H10" s="300"/>
      <c r="I10" s="299">
        <v>0</v>
      </c>
      <c r="J10" s="300"/>
      <c r="K10" s="299">
        <v>0</v>
      </c>
      <c r="L10" s="300"/>
      <c r="M10" s="299">
        <v>45695</v>
      </c>
      <c r="N10" s="300"/>
      <c r="O10" s="299">
        <v>50000</v>
      </c>
      <c r="P10" s="300"/>
      <c r="Q10" s="299">
        <v>205975</v>
      </c>
      <c r="R10" s="300"/>
      <c r="S10" s="299">
        <v>0</v>
      </c>
      <c r="T10" s="300"/>
      <c r="U10" s="299">
        <v>0</v>
      </c>
      <c r="V10" s="300"/>
      <c r="W10" s="299">
        <v>298882</v>
      </c>
      <c r="X10" s="300"/>
      <c r="Y10" s="299">
        <v>589035</v>
      </c>
      <c r="Z10" s="300"/>
      <c r="AA10" s="299">
        <v>9934875</v>
      </c>
      <c r="AB10" s="300"/>
      <c r="AC10" s="299">
        <v>0</v>
      </c>
      <c r="AD10" s="300"/>
      <c r="AE10" s="299">
        <v>240863</v>
      </c>
      <c r="AF10" s="300"/>
      <c r="AG10" s="299">
        <v>26011</v>
      </c>
      <c r="AH10" s="300"/>
      <c r="AI10" s="299">
        <v>32510</v>
      </c>
      <c r="AJ10" s="300"/>
      <c r="AK10" s="299">
        <v>0</v>
      </c>
      <c r="AL10" s="300"/>
      <c r="AM10" s="299">
        <v>0</v>
      </c>
      <c r="AN10" s="300"/>
      <c r="AO10" s="311">
        <f>E10+K10+G10+I10+M10+O10+Q10+S10+U10+W10+Y10+AA10+AC10+AE10+AG10+AI10+AK10+AM10</f>
        <v>39937285</v>
      </c>
      <c r="AP10" s="297"/>
      <c r="AQ10" s="262"/>
    </row>
    <row r="11" spans="1:44" s="312" customFormat="1" ht="21.75" customHeight="1" x14ac:dyDescent="0.3">
      <c r="A11" s="297"/>
      <c r="B11" s="298"/>
      <c r="C11" s="309"/>
      <c r="D11" s="310"/>
      <c r="E11" s="299"/>
      <c r="F11" s="300"/>
      <c r="G11" s="299"/>
      <c r="H11" s="300"/>
      <c r="I11" s="299"/>
      <c r="J11" s="300"/>
      <c r="K11" s="299"/>
      <c r="L11" s="300"/>
      <c r="M11" s="299"/>
      <c r="N11" s="300"/>
      <c r="O11" s="299"/>
      <c r="P11" s="300"/>
      <c r="Q11" s="299"/>
      <c r="R11" s="300"/>
      <c r="S11" s="299"/>
      <c r="T11" s="300"/>
      <c r="U11" s="299"/>
      <c r="V11" s="300"/>
      <c r="W11" s="299"/>
      <c r="X11" s="300"/>
      <c r="Y11" s="299"/>
      <c r="Z11" s="300"/>
      <c r="AA11" s="299"/>
      <c r="AB11" s="300"/>
      <c r="AC11" s="299"/>
      <c r="AD11" s="300"/>
      <c r="AE11" s="299"/>
      <c r="AF11" s="300"/>
      <c r="AG11" s="299"/>
      <c r="AH11" s="300"/>
      <c r="AI11" s="299"/>
      <c r="AJ11" s="300"/>
      <c r="AK11" s="299"/>
      <c r="AL11" s="300"/>
      <c r="AM11" s="299"/>
      <c r="AN11" s="300"/>
      <c r="AO11" s="311"/>
      <c r="AP11" s="297"/>
      <c r="AQ11" s="262"/>
    </row>
    <row r="12" spans="1:44" s="312" customFormat="1" ht="21.75" customHeight="1" x14ac:dyDescent="0.3">
      <c r="A12" s="297"/>
      <c r="B12" s="298" t="s">
        <v>96</v>
      </c>
      <c r="C12" s="309" t="s">
        <v>97</v>
      </c>
      <c r="D12" s="297"/>
      <c r="E12" s="299">
        <v>0</v>
      </c>
      <c r="F12" s="300"/>
      <c r="G12" s="299">
        <v>0</v>
      </c>
      <c r="H12" s="300"/>
      <c r="I12" s="299">
        <v>0</v>
      </c>
      <c r="J12" s="300"/>
      <c r="K12" s="299">
        <v>0</v>
      </c>
      <c r="L12" s="300"/>
      <c r="M12" s="299">
        <v>0</v>
      </c>
      <c r="N12" s="300"/>
      <c r="O12" s="299">
        <v>0</v>
      </c>
      <c r="P12" s="300"/>
      <c r="Q12" s="299">
        <v>0</v>
      </c>
      <c r="R12" s="300"/>
      <c r="S12" s="299">
        <v>0</v>
      </c>
      <c r="T12" s="300"/>
      <c r="U12" s="299">
        <v>0</v>
      </c>
      <c r="V12" s="300"/>
      <c r="W12" s="299">
        <v>0</v>
      </c>
      <c r="X12" s="300"/>
      <c r="Y12" s="299">
        <v>0</v>
      </c>
      <c r="Z12" s="300"/>
      <c r="AA12" s="299">
        <v>0</v>
      </c>
      <c r="AB12" s="300"/>
      <c r="AC12" s="299">
        <v>0</v>
      </c>
      <c r="AD12" s="300"/>
      <c r="AE12" s="299">
        <v>0</v>
      </c>
      <c r="AF12" s="300"/>
      <c r="AG12" s="299">
        <v>22530</v>
      </c>
      <c r="AH12" s="300"/>
      <c r="AI12" s="299">
        <v>0</v>
      </c>
      <c r="AJ12" s="300"/>
      <c r="AK12" s="299">
        <v>0</v>
      </c>
      <c r="AL12" s="300"/>
      <c r="AM12" s="299">
        <v>0</v>
      </c>
      <c r="AN12" s="300"/>
      <c r="AO12" s="311">
        <f>E12+K12+G12+I12+M12+O12+Q12+S12+U12+W12+Y12+AA12+AC12+AE12+AG12+AI12+AK12+AM12</f>
        <v>22530</v>
      </c>
      <c r="AP12" s="297"/>
      <c r="AQ12" s="262"/>
    </row>
    <row r="13" spans="1:44" s="312" customFormat="1" ht="21.75" customHeight="1" x14ac:dyDescent="0.3">
      <c r="A13" s="297"/>
      <c r="B13" s="298"/>
      <c r="C13" s="309"/>
      <c r="D13" s="310"/>
      <c r="E13" s="299"/>
      <c r="F13" s="300"/>
      <c r="G13" s="299"/>
      <c r="H13" s="300"/>
      <c r="I13" s="299"/>
      <c r="J13" s="300"/>
      <c r="K13" s="299"/>
      <c r="L13" s="300"/>
      <c r="M13" s="299"/>
      <c r="N13" s="300"/>
      <c r="O13" s="299"/>
      <c r="P13" s="300"/>
      <c r="Q13" s="299"/>
      <c r="R13" s="300"/>
      <c r="S13" s="299"/>
      <c r="T13" s="300"/>
      <c r="U13" s="299"/>
      <c r="V13" s="300"/>
      <c r="W13" s="299"/>
      <c r="X13" s="300"/>
      <c r="Y13" s="299"/>
      <c r="Z13" s="300"/>
      <c r="AA13" s="299"/>
      <c r="AB13" s="300"/>
      <c r="AC13" s="299"/>
      <c r="AD13" s="300"/>
      <c r="AE13" s="299"/>
      <c r="AF13" s="300"/>
      <c r="AG13" s="299"/>
      <c r="AH13" s="300"/>
      <c r="AI13" s="299"/>
      <c r="AJ13" s="300"/>
      <c r="AK13" s="299"/>
      <c r="AL13" s="300"/>
      <c r="AM13" s="299"/>
      <c r="AN13" s="300"/>
      <c r="AO13" s="311"/>
      <c r="AP13" s="297"/>
      <c r="AQ13" s="262"/>
    </row>
    <row r="14" spans="1:44" s="312" customFormat="1" ht="21.75" customHeight="1" x14ac:dyDescent="0.3">
      <c r="A14" s="297"/>
      <c r="B14" s="298" t="s">
        <v>98</v>
      </c>
      <c r="C14" s="309" t="s">
        <v>99</v>
      </c>
      <c r="D14" s="310"/>
      <c r="E14" s="299">
        <v>145870</v>
      </c>
      <c r="F14" s="300"/>
      <c r="G14" s="299">
        <v>0</v>
      </c>
      <c r="H14" s="300"/>
      <c r="I14" s="299">
        <v>0</v>
      </c>
      <c r="J14" s="300"/>
      <c r="K14" s="299">
        <v>0</v>
      </c>
      <c r="L14" s="300"/>
      <c r="M14" s="299">
        <v>581740</v>
      </c>
      <c r="N14" s="300"/>
      <c r="O14" s="299">
        <v>5000</v>
      </c>
      <c r="P14" s="300"/>
      <c r="Q14" s="299">
        <v>0</v>
      </c>
      <c r="R14" s="300"/>
      <c r="S14" s="299">
        <v>0</v>
      </c>
      <c r="T14" s="300"/>
      <c r="U14" s="299">
        <v>0</v>
      </c>
      <c r="V14" s="300"/>
      <c r="W14" s="299">
        <v>0</v>
      </c>
      <c r="X14" s="300"/>
      <c r="Y14" s="299">
        <v>0</v>
      </c>
      <c r="Z14" s="300"/>
      <c r="AA14" s="299">
        <v>0</v>
      </c>
      <c r="AB14" s="300"/>
      <c r="AC14" s="299">
        <v>0</v>
      </c>
      <c r="AD14" s="300"/>
      <c r="AE14" s="299">
        <v>0</v>
      </c>
      <c r="AF14" s="300"/>
      <c r="AG14" s="299">
        <v>0</v>
      </c>
      <c r="AH14" s="300"/>
      <c r="AI14" s="299">
        <v>0</v>
      </c>
      <c r="AJ14" s="300"/>
      <c r="AK14" s="299">
        <v>0</v>
      </c>
      <c r="AL14" s="300"/>
      <c r="AM14" s="299">
        <v>0</v>
      </c>
      <c r="AN14" s="300"/>
      <c r="AO14" s="311">
        <f>E14+K14+G14+I14+M14+O14+Q14+S14+U14+W14+Y14+AA14+AC14+AE14+AG14+AI14+AK14+AM14</f>
        <v>732610</v>
      </c>
      <c r="AP14" s="297"/>
      <c r="AQ14" s="262"/>
    </row>
    <row r="15" spans="1:44" s="312" customFormat="1" ht="24.75" customHeight="1" x14ac:dyDescent="0.3">
      <c r="A15" s="297"/>
      <c r="B15" s="298"/>
      <c r="C15" s="309"/>
      <c r="D15" s="297"/>
      <c r="E15" s="299"/>
      <c r="F15" s="300"/>
      <c r="G15" s="299"/>
      <c r="H15" s="300"/>
      <c r="I15" s="299"/>
      <c r="J15" s="300"/>
      <c r="K15" s="299"/>
      <c r="L15" s="300"/>
      <c r="M15" s="299"/>
      <c r="N15" s="300"/>
      <c r="O15" s="299"/>
      <c r="P15" s="300"/>
      <c r="Q15" s="299"/>
      <c r="R15" s="300"/>
      <c r="S15" s="299"/>
      <c r="T15" s="300"/>
      <c r="U15" s="299"/>
      <c r="V15" s="300"/>
      <c r="W15" s="299"/>
      <c r="X15" s="300"/>
      <c r="Y15" s="299"/>
      <c r="Z15" s="300"/>
      <c r="AA15" s="299"/>
      <c r="AB15" s="300"/>
      <c r="AC15" s="299"/>
      <c r="AD15" s="300"/>
      <c r="AE15" s="299"/>
      <c r="AF15" s="300"/>
      <c r="AG15" s="299"/>
      <c r="AH15" s="300"/>
      <c r="AI15" s="299"/>
      <c r="AJ15" s="300"/>
      <c r="AK15" s="299"/>
      <c r="AL15" s="300"/>
      <c r="AM15" s="299"/>
      <c r="AN15" s="300"/>
      <c r="AO15" s="311"/>
      <c r="AP15" s="297"/>
      <c r="AQ15" s="262"/>
    </row>
    <row r="16" spans="1:44" s="312" customFormat="1" ht="21.75" customHeight="1" x14ac:dyDescent="0.3">
      <c r="A16" s="297"/>
      <c r="B16" s="298" t="s">
        <v>100</v>
      </c>
      <c r="C16" s="309" t="s">
        <v>101</v>
      </c>
      <c r="D16" s="297"/>
      <c r="E16" s="299">
        <v>10000</v>
      </c>
      <c r="F16" s="300"/>
      <c r="G16" s="299">
        <v>0</v>
      </c>
      <c r="H16" s="300"/>
      <c r="I16" s="299">
        <v>0</v>
      </c>
      <c r="J16" s="300"/>
      <c r="K16" s="299">
        <v>0</v>
      </c>
      <c r="L16" s="300"/>
      <c r="M16" s="299">
        <v>761887</v>
      </c>
      <c r="N16" s="300"/>
      <c r="O16" s="299">
        <v>282556</v>
      </c>
      <c r="P16" s="300"/>
      <c r="Q16" s="299">
        <v>0</v>
      </c>
      <c r="R16" s="300"/>
      <c r="S16" s="299">
        <v>0</v>
      </c>
      <c r="T16" s="300"/>
      <c r="U16" s="299">
        <v>0</v>
      </c>
      <c r="V16" s="300"/>
      <c r="W16" s="299">
        <v>0</v>
      </c>
      <c r="X16" s="300"/>
      <c r="Y16" s="299">
        <v>0</v>
      </c>
      <c r="Z16" s="300"/>
      <c r="AA16" s="299">
        <v>0</v>
      </c>
      <c r="AB16" s="300"/>
      <c r="AC16" s="299">
        <v>0</v>
      </c>
      <c r="AD16" s="300"/>
      <c r="AE16" s="299">
        <v>0</v>
      </c>
      <c r="AF16" s="300"/>
      <c r="AG16" s="299">
        <v>0</v>
      </c>
      <c r="AH16" s="300"/>
      <c r="AI16" s="299">
        <v>0</v>
      </c>
      <c r="AJ16" s="300"/>
      <c r="AK16" s="299">
        <v>0</v>
      </c>
      <c r="AL16" s="300"/>
      <c r="AM16" s="299">
        <v>0</v>
      </c>
      <c r="AN16" s="300"/>
      <c r="AO16" s="311">
        <f>E16+K16+G16+I16+M16+O16+Q16+S16+U16+W16+Y16+AA16+AC16+AE16+AG16+AI16+AK16+AM16</f>
        <v>1054443</v>
      </c>
      <c r="AP16" s="297"/>
      <c r="AQ16" s="262"/>
    </row>
    <row r="17" spans="1:49" s="312" customFormat="1" ht="21.75" customHeight="1" thickBot="1" x14ac:dyDescent="0.35">
      <c r="A17" s="297"/>
      <c r="B17" s="298"/>
      <c r="C17" s="309"/>
      <c r="D17" s="297"/>
      <c r="E17" s="313"/>
      <c r="F17" s="300"/>
      <c r="G17" s="313"/>
      <c r="H17" s="300"/>
      <c r="I17" s="313"/>
      <c r="J17" s="300"/>
      <c r="K17" s="313"/>
      <c r="L17" s="300"/>
      <c r="M17" s="313"/>
      <c r="N17" s="300"/>
      <c r="O17" s="313"/>
      <c r="P17" s="300"/>
      <c r="Q17" s="313"/>
      <c r="R17" s="300"/>
      <c r="S17" s="313"/>
      <c r="T17" s="300"/>
      <c r="U17" s="313"/>
      <c r="V17" s="300"/>
      <c r="W17" s="313"/>
      <c r="X17" s="300"/>
      <c r="Y17" s="313"/>
      <c r="Z17" s="300"/>
      <c r="AA17" s="313"/>
      <c r="AB17" s="300"/>
      <c r="AC17" s="313"/>
      <c r="AD17" s="300"/>
      <c r="AE17" s="313"/>
      <c r="AF17" s="300"/>
      <c r="AG17" s="313"/>
      <c r="AH17" s="300"/>
      <c r="AI17" s="313"/>
      <c r="AJ17" s="300"/>
      <c r="AK17" s="313"/>
      <c r="AL17" s="300"/>
      <c r="AM17" s="313"/>
      <c r="AN17" s="300"/>
      <c r="AO17" s="311"/>
      <c r="AP17" s="297"/>
      <c r="AQ17" s="262"/>
    </row>
    <row r="18" spans="1:49" s="312" customFormat="1" ht="20.25" customHeight="1" thickBot="1" x14ac:dyDescent="0.35">
      <c r="A18" s="297"/>
      <c r="B18" s="314" t="s">
        <v>460</v>
      </c>
      <c r="C18" s="315"/>
      <c r="D18" s="316"/>
      <c r="E18" s="317">
        <f>SUM(E10:E17)</f>
        <v>27904609</v>
      </c>
      <c r="F18" s="318"/>
      <c r="G18" s="317">
        <f>SUM(G10:G17)</f>
        <v>764700</v>
      </c>
      <c r="H18" s="318"/>
      <c r="I18" s="317">
        <f>SUM(I10:I17)</f>
        <v>0</v>
      </c>
      <c r="J18" s="318"/>
      <c r="K18" s="317">
        <f>SUM(K10:K17)</f>
        <v>0</v>
      </c>
      <c r="L18" s="318"/>
      <c r="M18" s="317">
        <f>SUM(M10:M17)</f>
        <v>1389322</v>
      </c>
      <c r="N18" s="318"/>
      <c r="O18" s="317">
        <f>SUM(O10:O17)</f>
        <v>337556</v>
      </c>
      <c r="P18" s="318"/>
      <c r="Q18" s="317">
        <f>SUM(Q10:Q17)</f>
        <v>205975</v>
      </c>
      <c r="R18" s="318"/>
      <c r="S18" s="317">
        <f>SUM(S10:S17)</f>
        <v>0</v>
      </c>
      <c r="T18" s="318"/>
      <c r="U18" s="317">
        <f>SUM(U10:U17)</f>
        <v>0</v>
      </c>
      <c r="V18" s="318"/>
      <c r="W18" s="317">
        <f>SUM(W10:W17)</f>
        <v>298882</v>
      </c>
      <c r="X18" s="318"/>
      <c r="Y18" s="317">
        <f>SUM(Y10:Y17)</f>
        <v>589035</v>
      </c>
      <c r="Z18" s="318"/>
      <c r="AA18" s="317">
        <f>SUM(AA10:AA17)</f>
        <v>9934875</v>
      </c>
      <c r="AB18" s="318"/>
      <c r="AC18" s="317">
        <f>SUM(AC10:AC17)</f>
        <v>0</v>
      </c>
      <c r="AD18" s="318"/>
      <c r="AE18" s="317">
        <f>SUM(AE10:AE17)</f>
        <v>240863</v>
      </c>
      <c r="AF18" s="318"/>
      <c r="AG18" s="317">
        <f>SUM(AG10:AG17)</f>
        <v>48541</v>
      </c>
      <c r="AH18" s="318"/>
      <c r="AI18" s="317">
        <f>SUM(AI10:AI17)</f>
        <v>32510</v>
      </c>
      <c r="AJ18" s="318"/>
      <c r="AK18" s="317">
        <f>SUM(AK10:AK17)</f>
        <v>0</v>
      </c>
      <c r="AL18" s="318"/>
      <c r="AM18" s="317">
        <f>SUM(AM10:AM17)</f>
        <v>0</v>
      </c>
      <c r="AN18" s="318"/>
      <c r="AO18" s="317">
        <f>SUM(AO10:AO17)</f>
        <v>41746868</v>
      </c>
      <c r="AP18" s="297"/>
      <c r="AQ18" s="262"/>
    </row>
    <row r="19" spans="1:49" s="312" customFormat="1" ht="18.75" x14ac:dyDescent="0.3">
      <c r="A19" s="297"/>
      <c r="B19" s="298"/>
      <c r="C19" s="309"/>
      <c r="D19" s="297"/>
      <c r="E19" s="311"/>
      <c r="F19" s="319"/>
      <c r="G19" s="311"/>
      <c r="H19" s="319"/>
      <c r="I19" s="311"/>
      <c r="J19" s="319"/>
      <c r="K19" s="311"/>
      <c r="L19" s="319"/>
      <c r="M19" s="311"/>
      <c r="N19" s="319"/>
      <c r="O19" s="311"/>
      <c r="P19" s="319"/>
      <c r="Q19" s="311"/>
      <c r="R19" s="319"/>
      <c r="S19" s="311"/>
      <c r="T19" s="319"/>
      <c r="U19" s="311"/>
      <c r="V19" s="319"/>
      <c r="W19" s="311"/>
      <c r="X19" s="319"/>
      <c r="Y19" s="311"/>
      <c r="Z19" s="319"/>
      <c r="AA19" s="311"/>
      <c r="AB19" s="319"/>
      <c r="AC19" s="311"/>
      <c r="AD19" s="319"/>
      <c r="AE19" s="311"/>
      <c r="AF19" s="319"/>
      <c r="AG19" s="311"/>
      <c r="AH19" s="319"/>
      <c r="AI19" s="311"/>
      <c r="AJ19" s="319"/>
      <c r="AK19" s="311"/>
      <c r="AL19" s="319"/>
      <c r="AM19" s="311"/>
      <c r="AN19" s="319"/>
      <c r="AO19" s="311"/>
      <c r="AP19" s="297"/>
      <c r="AQ19" s="262"/>
    </row>
    <row r="20" spans="1:49" s="312" customFormat="1" ht="19.5" thickBot="1" x14ac:dyDescent="0.35">
      <c r="A20" s="297"/>
      <c r="B20" s="298"/>
      <c r="C20" s="309"/>
      <c r="D20" s="320"/>
      <c r="E20" s="311"/>
      <c r="F20" s="319"/>
      <c r="G20" s="311"/>
      <c r="H20" s="319"/>
      <c r="I20" s="311"/>
      <c r="J20" s="319"/>
      <c r="K20" s="311"/>
      <c r="L20" s="319"/>
      <c r="M20" s="311"/>
      <c r="N20" s="319"/>
      <c r="O20" s="311"/>
      <c r="P20" s="319"/>
      <c r="Q20" s="311"/>
      <c r="R20" s="319"/>
      <c r="S20" s="311"/>
      <c r="T20" s="319"/>
      <c r="U20" s="311"/>
      <c r="V20" s="319"/>
      <c r="W20" s="311"/>
      <c r="X20" s="319"/>
      <c r="Y20" s="311"/>
      <c r="Z20" s="319"/>
      <c r="AA20" s="311"/>
      <c r="AB20" s="319"/>
      <c r="AC20" s="311"/>
      <c r="AD20" s="319"/>
      <c r="AE20" s="311"/>
      <c r="AF20" s="319"/>
      <c r="AG20" s="311"/>
      <c r="AH20" s="319"/>
      <c r="AI20" s="311"/>
      <c r="AJ20" s="319"/>
      <c r="AK20" s="311"/>
      <c r="AL20" s="319"/>
      <c r="AM20" s="311"/>
      <c r="AN20" s="319"/>
      <c r="AO20" s="311"/>
      <c r="AP20" s="297"/>
      <c r="AQ20" s="262"/>
    </row>
    <row r="21" spans="1:49" s="312" customFormat="1" ht="19.5" thickBot="1" x14ac:dyDescent="0.35">
      <c r="A21" s="297"/>
      <c r="B21" s="314" t="s">
        <v>461</v>
      </c>
      <c r="C21" s="315"/>
      <c r="D21" s="316"/>
      <c r="E21" s="317">
        <f>E7+E18</f>
        <v>45021764</v>
      </c>
      <c r="F21" s="318"/>
      <c r="G21" s="317">
        <f>G7+G18</f>
        <v>1054059</v>
      </c>
      <c r="H21" s="318"/>
      <c r="I21" s="317">
        <f>I7+I18</f>
        <v>0</v>
      </c>
      <c r="J21" s="318"/>
      <c r="K21" s="317">
        <f>K7+K18</f>
        <v>0</v>
      </c>
      <c r="L21" s="318"/>
      <c r="M21" s="317">
        <f>M7+M18</f>
        <v>1719898</v>
      </c>
      <c r="N21" s="318"/>
      <c r="O21" s="317">
        <f>O7+O18</f>
        <v>337556</v>
      </c>
      <c r="P21" s="318"/>
      <c r="Q21" s="317">
        <f>Q7+Q18</f>
        <v>340126</v>
      </c>
      <c r="R21" s="318"/>
      <c r="S21" s="317">
        <f>S7+S18</f>
        <v>0</v>
      </c>
      <c r="T21" s="318"/>
      <c r="U21" s="317">
        <f>U7+U18</f>
        <v>0</v>
      </c>
      <c r="V21" s="318"/>
      <c r="W21" s="317">
        <f>W7+W18</f>
        <v>2112212</v>
      </c>
      <c r="X21" s="318"/>
      <c r="Y21" s="317">
        <f>Y7+Y18</f>
        <v>1103149</v>
      </c>
      <c r="Z21" s="318"/>
      <c r="AA21" s="317">
        <f>AA7+AA18</f>
        <v>20643307</v>
      </c>
      <c r="AB21" s="318"/>
      <c r="AC21" s="317">
        <f>AC7+AC18</f>
        <v>0</v>
      </c>
      <c r="AD21" s="318"/>
      <c r="AE21" s="317">
        <f>AE7+AE18</f>
        <v>20378749</v>
      </c>
      <c r="AF21" s="318"/>
      <c r="AG21" s="317">
        <f>AG7+AG18</f>
        <v>1150036</v>
      </c>
      <c r="AH21" s="318"/>
      <c r="AI21" s="317">
        <f>AI7+AI18</f>
        <v>557829</v>
      </c>
      <c r="AJ21" s="318"/>
      <c r="AK21" s="317">
        <f>AK7+AK18</f>
        <v>0</v>
      </c>
      <c r="AL21" s="318"/>
      <c r="AM21" s="317">
        <f>AM7+AM18</f>
        <v>0</v>
      </c>
      <c r="AN21" s="318"/>
      <c r="AO21" s="317">
        <f>AO7+AO18</f>
        <v>94418685</v>
      </c>
      <c r="AP21" s="297"/>
      <c r="AQ21" s="262"/>
    </row>
    <row r="22" spans="1:49" s="312" customFormat="1" ht="18.75" x14ac:dyDescent="0.3">
      <c r="A22" s="297"/>
      <c r="B22" s="298" t="s">
        <v>102</v>
      </c>
      <c r="C22" s="309"/>
      <c r="D22" s="310"/>
      <c r="E22" s="311"/>
      <c r="F22" s="319"/>
      <c r="G22" s="311"/>
      <c r="H22" s="319"/>
      <c r="I22" s="311"/>
      <c r="J22" s="319"/>
      <c r="K22" s="311"/>
      <c r="L22" s="319"/>
      <c r="M22" s="311"/>
      <c r="N22" s="319"/>
      <c r="O22" s="311"/>
      <c r="P22" s="319"/>
      <c r="Q22" s="311"/>
      <c r="R22" s="319"/>
      <c r="S22" s="311"/>
      <c r="T22" s="319"/>
      <c r="U22" s="311"/>
      <c r="V22" s="319"/>
      <c r="W22" s="311"/>
      <c r="X22" s="319"/>
      <c r="Y22" s="311"/>
      <c r="Z22" s="319"/>
      <c r="AA22" s="311"/>
      <c r="AB22" s="319"/>
      <c r="AC22" s="311"/>
      <c r="AD22" s="319"/>
      <c r="AE22" s="311"/>
      <c r="AF22" s="319"/>
      <c r="AG22" s="311"/>
      <c r="AH22" s="319"/>
      <c r="AI22" s="311"/>
      <c r="AJ22" s="319"/>
      <c r="AK22" s="311"/>
      <c r="AL22" s="319"/>
      <c r="AM22" s="311"/>
      <c r="AN22" s="319"/>
      <c r="AO22" s="311"/>
      <c r="AP22" s="297"/>
      <c r="AQ22" s="262"/>
    </row>
    <row r="23" spans="1:49" s="312" customFormat="1" ht="37.5" x14ac:dyDescent="0.3">
      <c r="A23" s="297"/>
      <c r="B23" s="298" t="s">
        <v>462</v>
      </c>
      <c r="C23" s="309" t="s">
        <v>103</v>
      </c>
      <c r="D23" s="297"/>
      <c r="E23" s="299">
        <v>0</v>
      </c>
      <c r="F23" s="300"/>
      <c r="G23" s="299">
        <v>0</v>
      </c>
      <c r="H23" s="300"/>
      <c r="I23" s="299">
        <v>0</v>
      </c>
      <c r="J23" s="300"/>
      <c r="K23" s="299">
        <v>0</v>
      </c>
      <c r="L23" s="300"/>
      <c r="M23" s="299">
        <v>0</v>
      </c>
      <c r="N23" s="300"/>
      <c r="O23" s="299">
        <v>0</v>
      </c>
      <c r="P23" s="300"/>
      <c r="Q23" s="299">
        <v>0</v>
      </c>
      <c r="R23" s="300"/>
      <c r="S23" s="299">
        <v>0</v>
      </c>
      <c r="T23" s="300"/>
      <c r="U23" s="299">
        <v>0</v>
      </c>
      <c r="V23" s="300"/>
      <c r="W23" s="299">
        <v>0</v>
      </c>
      <c r="X23" s="300"/>
      <c r="Y23" s="299">
        <v>0</v>
      </c>
      <c r="Z23" s="300"/>
      <c r="AA23" s="299">
        <v>0</v>
      </c>
      <c r="AB23" s="300"/>
      <c r="AC23" s="299">
        <v>0</v>
      </c>
      <c r="AD23" s="300"/>
      <c r="AE23" s="299">
        <v>0</v>
      </c>
      <c r="AF23" s="300"/>
      <c r="AG23" s="299">
        <v>0</v>
      </c>
      <c r="AH23" s="300"/>
      <c r="AI23" s="299">
        <v>0</v>
      </c>
      <c r="AJ23" s="300"/>
      <c r="AK23" s="321">
        <v>0</v>
      </c>
      <c r="AL23" s="300"/>
      <c r="AM23" s="321">
        <v>0</v>
      </c>
      <c r="AN23" s="300"/>
      <c r="AO23" s="311">
        <f>E23+K23+G23+I23+M23+O23+Q23+S23+U23+W23+Y23+AA23+AC23+AE23+AG23+AI23+AK23+AM23</f>
        <v>0</v>
      </c>
      <c r="AP23" s="297"/>
      <c r="AQ23" s="262"/>
    </row>
    <row r="24" spans="1:49" s="312" customFormat="1" ht="18.75" x14ac:dyDescent="0.3">
      <c r="A24" s="297"/>
      <c r="B24" s="298"/>
      <c r="C24" s="309"/>
      <c r="D24" s="297"/>
      <c r="E24" s="299"/>
      <c r="F24" s="300"/>
      <c r="G24" s="299"/>
      <c r="H24" s="300"/>
      <c r="I24" s="299"/>
      <c r="J24" s="300"/>
      <c r="K24" s="299"/>
      <c r="L24" s="300"/>
      <c r="M24" s="299"/>
      <c r="N24" s="300"/>
      <c r="O24" s="299"/>
      <c r="P24" s="300"/>
      <c r="Q24" s="299"/>
      <c r="R24" s="300"/>
      <c r="S24" s="299"/>
      <c r="T24" s="300"/>
      <c r="U24" s="299"/>
      <c r="V24" s="300"/>
      <c r="W24" s="299"/>
      <c r="X24" s="300"/>
      <c r="Y24" s="299"/>
      <c r="Z24" s="300"/>
      <c r="AA24" s="299"/>
      <c r="AB24" s="300"/>
      <c r="AC24" s="299"/>
      <c r="AD24" s="300"/>
      <c r="AE24" s="299"/>
      <c r="AF24" s="300"/>
      <c r="AG24" s="299"/>
      <c r="AH24" s="300"/>
      <c r="AI24" s="299"/>
      <c r="AJ24" s="300"/>
      <c r="AK24" s="299"/>
      <c r="AL24" s="300"/>
      <c r="AM24" s="299"/>
      <c r="AN24" s="300"/>
      <c r="AO24" s="311"/>
      <c r="AP24" s="297"/>
      <c r="AQ24" s="262"/>
    </row>
    <row r="25" spans="1:49" s="312" customFormat="1" ht="18.75" x14ac:dyDescent="0.3">
      <c r="A25" s="297"/>
      <c r="B25" s="298" t="s">
        <v>463</v>
      </c>
      <c r="C25" s="322" t="s">
        <v>104</v>
      </c>
      <c r="D25" s="297"/>
      <c r="E25" s="299">
        <v>-1001126</v>
      </c>
      <c r="F25" s="300"/>
      <c r="G25" s="299">
        <v>616126</v>
      </c>
      <c r="H25" s="300"/>
      <c r="I25" s="299">
        <v>0</v>
      </c>
      <c r="J25" s="300"/>
      <c r="K25" s="299">
        <v>0</v>
      </c>
      <c r="L25" s="300"/>
      <c r="M25" s="299">
        <v>40000</v>
      </c>
      <c r="N25" s="300"/>
      <c r="O25" s="299">
        <v>0</v>
      </c>
      <c r="P25" s="300"/>
      <c r="Q25" s="299">
        <v>0</v>
      </c>
      <c r="R25" s="300"/>
      <c r="S25" s="299">
        <v>0</v>
      </c>
      <c r="T25" s="300"/>
      <c r="U25" s="299">
        <v>0</v>
      </c>
      <c r="V25" s="300"/>
      <c r="W25" s="299">
        <v>0</v>
      </c>
      <c r="X25" s="300"/>
      <c r="Y25" s="299">
        <v>0</v>
      </c>
      <c r="Z25" s="300"/>
      <c r="AA25" s="299">
        <v>0</v>
      </c>
      <c r="AB25" s="300"/>
      <c r="AC25" s="299">
        <v>0</v>
      </c>
      <c r="AD25" s="300"/>
      <c r="AE25" s="299">
        <v>345000</v>
      </c>
      <c r="AF25" s="300"/>
      <c r="AG25" s="299">
        <v>0</v>
      </c>
      <c r="AH25" s="300"/>
      <c r="AI25" s="299">
        <v>0</v>
      </c>
      <c r="AJ25" s="300"/>
      <c r="AK25" s="299">
        <v>0</v>
      </c>
      <c r="AL25" s="300"/>
      <c r="AM25" s="299">
        <v>0</v>
      </c>
      <c r="AN25" s="300"/>
      <c r="AO25" s="311">
        <f>E25+K25+G25+I25+M25+O25+Q25+S25+U25+W25+Y25+AA25+AC25+AE25+AG25+AI25+AK25+AM25</f>
        <v>0</v>
      </c>
      <c r="AP25" s="297"/>
      <c r="AQ25" s="262"/>
    </row>
    <row r="26" spans="1:49" s="312" customFormat="1" ht="18.75" x14ac:dyDescent="0.3">
      <c r="A26" s="297"/>
      <c r="B26" s="298"/>
      <c r="C26" s="309"/>
      <c r="D26" s="297"/>
      <c r="E26" s="299"/>
      <c r="F26" s="300"/>
      <c r="G26" s="299"/>
      <c r="H26" s="300"/>
      <c r="I26" s="299"/>
      <c r="J26" s="300"/>
      <c r="K26" s="299"/>
      <c r="L26" s="300"/>
      <c r="M26" s="299"/>
      <c r="N26" s="300"/>
      <c r="O26" s="299"/>
      <c r="P26" s="300"/>
      <c r="Q26" s="299"/>
      <c r="R26" s="300"/>
      <c r="S26" s="299"/>
      <c r="T26" s="300"/>
      <c r="U26" s="299"/>
      <c r="V26" s="300"/>
      <c r="W26" s="299"/>
      <c r="X26" s="300"/>
      <c r="Y26" s="299"/>
      <c r="Z26" s="300"/>
      <c r="AA26" s="299"/>
      <c r="AB26" s="300"/>
      <c r="AC26" s="299"/>
      <c r="AD26" s="300"/>
      <c r="AE26" s="299"/>
      <c r="AF26" s="300"/>
      <c r="AG26" s="299"/>
      <c r="AH26" s="300"/>
      <c r="AI26" s="299"/>
      <c r="AJ26" s="300"/>
      <c r="AK26" s="299"/>
      <c r="AL26" s="300"/>
      <c r="AM26" s="299"/>
      <c r="AN26" s="300"/>
      <c r="AO26" s="311"/>
      <c r="AP26" s="297"/>
      <c r="AQ26" s="262"/>
    </row>
    <row r="27" spans="1:49" s="312" customFormat="1" ht="56.25" x14ac:dyDescent="0.3">
      <c r="A27" s="297"/>
      <c r="B27" s="298" t="s">
        <v>105</v>
      </c>
      <c r="C27" s="309" t="s">
        <v>106</v>
      </c>
      <c r="D27" s="297"/>
      <c r="E27" s="299">
        <v>0</v>
      </c>
      <c r="F27" s="300"/>
      <c r="G27" s="299">
        <v>0</v>
      </c>
      <c r="H27" s="300"/>
      <c r="I27" s="299">
        <v>0</v>
      </c>
      <c r="J27" s="300"/>
      <c r="K27" s="299">
        <v>0</v>
      </c>
      <c r="L27" s="300"/>
      <c r="M27" s="299">
        <v>0</v>
      </c>
      <c r="N27" s="300"/>
      <c r="O27" s="299">
        <v>0</v>
      </c>
      <c r="P27" s="300"/>
      <c r="Q27" s="299">
        <v>0</v>
      </c>
      <c r="R27" s="300"/>
      <c r="S27" s="299">
        <v>0</v>
      </c>
      <c r="T27" s="300"/>
      <c r="U27" s="299">
        <v>0</v>
      </c>
      <c r="V27" s="300"/>
      <c r="W27" s="299">
        <v>0</v>
      </c>
      <c r="X27" s="300"/>
      <c r="Y27" s="299">
        <v>0</v>
      </c>
      <c r="Z27" s="300"/>
      <c r="AA27" s="299">
        <v>0</v>
      </c>
      <c r="AB27" s="300"/>
      <c r="AC27" s="299">
        <v>0</v>
      </c>
      <c r="AD27" s="300"/>
      <c r="AE27" s="299">
        <v>0</v>
      </c>
      <c r="AF27" s="300"/>
      <c r="AG27" s="299">
        <v>0</v>
      </c>
      <c r="AH27" s="300"/>
      <c r="AI27" s="299">
        <v>0</v>
      </c>
      <c r="AJ27" s="300"/>
      <c r="AK27" s="299">
        <v>0</v>
      </c>
      <c r="AL27" s="300"/>
      <c r="AM27" s="299">
        <v>0</v>
      </c>
      <c r="AN27" s="300"/>
      <c r="AO27" s="311">
        <f>E27+K27+G27+I27+M27+O27+Q27+S27+U27+W27+Y27+AA27+AC27+AE27+AG27+AI27+AK27+AM27</f>
        <v>0</v>
      </c>
      <c r="AP27" s="297"/>
      <c r="AQ27" s="262"/>
    </row>
    <row r="28" spans="1:49" s="312" customFormat="1" ht="19.5" thickBot="1" x14ac:dyDescent="0.35">
      <c r="A28" s="297"/>
      <c r="B28" s="298"/>
      <c r="C28" s="309"/>
      <c r="D28" s="297"/>
      <c r="E28" s="311"/>
      <c r="F28" s="319"/>
      <c r="G28" s="311"/>
      <c r="H28" s="319"/>
      <c r="I28" s="311"/>
      <c r="J28" s="319"/>
      <c r="K28" s="311"/>
      <c r="L28" s="319"/>
      <c r="M28" s="311"/>
      <c r="N28" s="319"/>
      <c r="O28" s="311"/>
      <c r="P28" s="319"/>
      <c r="Q28" s="311"/>
      <c r="R28" s="319"/>
      <c r="S28" s="311"/>
      <c r="T28" s="319"/>
      <c r="U28" s="311"/>
      <c r="V28" s="319"/>
      <c r="W28" s="311"/>
      <c r="X28" s="319"/>
      <c r="Y28" s="311"/>
      <c r="Z28" s="319"/>
      <c r="AA28" s="311"/>
      <c r="AB28" s="319"/>
      <c r="AC28" s="311"/>
      <c r="AD28" s="319"/>
      <c r="AE28" s="311"/>
      <c r="AF28" s="319"/>
      <c r="AG28" s="311"/>
      <c r="AH28" s="319"/>
      <c r="AI28" s="311"/>
      <c r="AJ28" s="319"/>
      <c r="AK28" s="311"/>
      <c r="AL28" s="319"/>
      <c r="AM28" s="311"/>
      <c r="AN28" s="319"/>
      <c r="AO28" s="311"/>
      <c r="AP28" s="297"/>
      <c r="AQ28" s="262"/>
    </row>
    <row r="29" spans="1:49" s="312" customFormat="1" ht="38.25" thickBot="1" x14ac:dyDescent="0.35">
      <c r="A29" s="297"/>
      <c r="B29" s="314" t="s">
        <v>464</v>
      </c>
      <c r="C29" s="315"/>
      <c r="D29" s="316"/>
      <c r="E29" s="317">
        <f>E21+E23+E25+E27</f>
        <v>44020638</v>
      </c>
      <c r="F29" s="318"/>
      <c r="G29" s="317">
        <f>G21+G23+G25+G27</f>
        <v>1670185</v>
      </c>
      <c r="H29" s="318"/>
      <c r="I29" s="317">
        <f>I21+I23+I25+I27</f>
        <v>0</v>
      </c>
      <c r="J29" s="318"/>
      <c r="K29" s="317">
        <f>K21+K23+K25+K27</f>
        <v>0</v>
      </c>
      <c r="L29" s="318"/>
      <c r="M29" s="317">
        <f>M21+M23+M25+M27</f>
        <v>1759898</v>
      </c>
      <c r="N29" s="318"/>
      <c r="O29" s="317">
        <f>O21+O23+O25+O27</f>
        <v>337556</v>
      </c>
      <c r="P29" s="318"/>
      <c r="Q29" s="317">
        <f>Q21+Q23+Q25+Q27</f>
        <v>340126</v>
      </c>
      <c r="R29" s="318"/>
      <c r="S29" s="317">
        <f>S21+S23+S25+S27</f>
        <v>0</v>
      </c>
      <c r="T29" s="318"/>
      <c r="U29" s="317">
        <f>U21+U23+U25+U27</f>
        <v>0</v>
      </c>
      <c r="V29" s="318"/>
      <c r="W29" s="317">
        <f>W21+W23+W25+W27</f>
        <v>2112212</v>
      </c>
      <c r="X29" s="318"/>
      <c r="Y29" s="317">
        <f>Y21+Y23+Y25+Y27</f>
        <v>1103149</v>
      </c>
      <c r="Z29" s="318"/>
      <c r="AA29" s="317">
        <f>AA21+AA23+AA25+AA27</f>
        <v>20643307</v>
      </c>
      <c r="AB29" s="318"/>
      <c r="AC29" s="317">
        <f>AC21+AC23+AC25+AC27</f>
        <v>0</v>
      </c>
      <c r="AD29" s="318"/>
      <c r="AE29" s="317">
        <f>AE21+AE23+AE25+AE27</f>
        <v>20723749</v>
      </c>
      <c r="AF29" s="318"/>
      <c r="AG29" s="317">
        <f>AG21+AG23+AG25+AG27</f>
        <v>1150036</v>
      </c>
      <c r="AH29" s="318"/>
      <c r="AI29" s="317">
        <f>AI21+AI23+AI25+AI27</f>
        <v>557829</v>
      </c>
      <c r="AJ29" s="318"/>
      <c r="AK29" s="317">
        <f>AK21+AK23+AK25+AK27</f>
        <v>0</v>
      </c>
      <c r="AL29" s="318"/>
      <c r="AM29" s="317">
        <f>AM21+AM23+AM25+AM27</f>
        <v>0</v>
      </c>
      <c r="AN29" s="318"/>
      <c r="AO29" s="317">
        <f>AO21+AO23+AO25+AO27</f>
        <v>94418685</v>
      </c>
      <c r="AP29" s="297"/>
      <c r="AQ29" s="262"/>
    </row>
    <row r="30" spans="1:49" s="312" customFormat="1" ht="18.75" x14ac:dyDescent="0.3">
      <c r="A30" s="297"/>
      <c r="B30" s="281"/>
      <c r="C30" s="323"/>
      <c r="D30" s="310"/>
      <c r="E30" s="302"/>
      <c r="F30" s="319"/>
      <c r="G30" s="302"/>
      <c r="H30" s="319"/>
      <c r="I30" s="302"/>
      <c r="J30" s="319"/>
      <c r="K30" s="302"/>
      <c r="L30" s="319"/>
      <c r="M30" s="302"/>
      <c r="N30" s="319"/>
      <c r="O30" s="302"/>
      <c r="P30" s="319"/>
      <c r="Q30" s="302"/>
      <c r="R30" s="319"/>
      <c r="S30" s="302"/>
      <c r="T30" s="319"/>
      <c r="U30" s="302"/>
      <c r="V30" s="319"/>
      <c r="W30" s="302"/>
      <c r="X30" s="319"/>
      <c r="Y30" s="302"/>
      <c r="Z30" s="319"/>
      <c r="AA30" s="302"/>
      <c r="AB30" s="319"/>
      <c r="AC30" s="302"/>
      <c r="AD30" s="319"/>
      <c r="AE30" s="302"/>
      <c r="AF30" s="319"/>
      <c r="AG30" s="302"/>
      <c r="AH30" s="319"/>
      <c r="AI30" s="302"/>
      <c r="AJ30" s="319"/>
      <c r="AK30" s="302"/>
      <c r="AL30" s="319"/>
      <c r="AM30" s="302"/>
      <c r="AN30" s="319"/>
      <c r="AO30" s="302"/>
      <c r="AP30" s="297"/>
      <c r="AQ30" s="262"/>
    </row>
    <row r="31" spans="1:49" s="312" customFormat="1" ht="28.5" customHeight="1" x14ac:dyDescent="0.35">
      <c r="A31" s="297"/>
      <c r="B31" s="308" t="s">
        <v>465</v>
      </c>
      <c r="C31" s="309"/>
      <c r="D31" s="310"/>
      <c r="E31" s="311"/>
      <c r="F31" s="319"/>
      <c r="G31" s="311"/>
      <c r="H31" s="319"/>
      <c r="I31" s="311"/>
      <c r="J31" s="319"/>
      <c r="K31" s="311"/>
      <c r="L31" s="319"/>
      <c r="M31" s="311"/>
      <c r="N31" s="319"/>
      <c r="O31" s="311"/>
      <c r="P31" s="319"/>
      <c r="Q31" s="311"/>
      <c r="R31" s="319"/>
      <c r="S31" s="311"/>
      <c r="T31" s="319"/>
      <c r="U31" s="311"/>
      <c r="V31" s="319"/>
      <c r="W31" s="311"/>
      <c r="X31" s="319"/>
      <c r="Y31" s="311"/>
      <c r="Z31" s="319"/>
      <c r="AA31" s="311"/>
      <c r="AB31" s="319"/>
      <c r="AC31" s="311"/>
      <c r="AD31" s="319"/>
      <c r="AE31" s="311"/>
      <c r="AF31" s="319"/>
      <c r="AG31" s="311"/>
      <c r="AH31" s="319"/>
      <c r="AI31" s="311"/>
      <c r="AJ31" s="319"/>
      <c r="AK31" s="311"/>
      <c r="AL31" s="319"/>
      <c r="AM31" s="311"/>
      <c r="AN31" s="319"/>
      <c r="AO31" s="311"/>
      <c r="AP31" s="297"/>
      <c r="AQ31" s="262"/>
    </row>
    <row r="32" spans="1:49" s="312" customFormat="1" ht="21.75" customHeight="1" x14ac:dyDescent="0.3">
      <c r="A32" s="297"/>
      <c r="B32" s="298" t="s">
        <v>107</v>
      </c>
      <c r="C32" s="309"/>
      <c r="D32" s="310"/>
      <c r="E32" s="311"/>
      <c r="F32" s="319"/>
      <c r="G32" s="311"/>
      <c r="H32" s="319"/>
      <c r="I32" s="311"/>
      <c r="J32" s="319"/>
      <c r="K32" s="311"/>
      <c r="L32" s="319"/>
      <c r="M32" s="311"/>
      <c r="N32" s="319"/>
      <c r="O32" s="311"/>
      <c r="P32" s="319"/>
      <c r="Q32" s="311"/>
      <c r="R32" s="319"/>
      <c r="S32" s="311"/>
      <c r="T32" s="319"/>
      <c r="U32" s="311"/>
      <c r="V32" s="319"/>
      <c r="W32" s="311"/>
      <c r="X32" s="319"/>
      <c r="Y32" s="311"/>
      <c r="Z32" s="319"/>
      <c r="AA32" s="311"/>
      <c r="AB32" s="319"/>
      <c r="AC32" s="311"/>
      <c r="AD32" s="319"/>
      <c r="AE32" s="311"/>
      <c r="AF32" s="319"/>
      <c r="AG32" s="311"/>
      <c r="AH32" s="319"/>
      <c r="AI32" s="311"/>
      <c r="AJ32" s="319"/>
      <c r="AK32" s="311"/>
      <c r="AL32" s="319"/>
      <c r="AM32" s="311"/>
      <c r="AN32" s="319"/>
      <c r="AO32" s="311"/>
      <c r="AP32" s="297"/>
      <c r="AQ32" s="262"/>
      <c r="AR32" s="324" t="s">
        <v>466</v>
      </c>
      <c r="AS32" s="325"/>
      <c r="AT32" s="325"/>
      <c r="AU32" s="325"/>
      <c r="AV32" s="325"/>
      <c r="AW32" s="325"/>
    </row>
    <row r="33" spans="1:53" s="312" customFormat="1" ht="21.75" customHeight="1" x14ac:dyDescent="0.3">
      <c r="A33" s="297"/>
      <c r="B33" s="298" t="s">
        <v>467</v>
      </c>
      <c r="C33" s="326" t="s">
        <v>108</v>
      </c>
      <c r="D33" s="310"/>
      <c r="E33" s="299">
        <v>11286093</v>
      </c>
      <c r="F33" s="300"/>
      <c r="G33" s="299">
        <v>0</v>
      </c>
      <c r="H33" s="300"/>
      <c r="I33" s="299">
        <v>0</v>
      </c>
      <c r="J33" s="300"/>
      <c r="K33" s="299">
        <v>0</v>
      </c>
      <c r="L33" s="300"/>
      <c r="M33" s="299">
        <v>0</v>
      </c>
      <c r="N33" s="300"/>
      <c r="O33" s="299">
        <v>188052</v>
      </c>
      <c r="P33" s="300"/>
      <c r="Q33" s="299">
        <v>12485</v>
      </c>
      <c r="R33" s="300"/>
      <c r="S33" s="299">
        <v>0</v>
      </c>
      <c r="T33" s="300"/>
      <c r="U33" s="299">
        <v>0</v>
      </c>
      <c r="V33" s="300"/>
      <c r="W33" s="299">
        <v>0</v>
      </c>
      <c r="X33" s="300"/>
      <c r="Y33" s="299">
        <v>0</v>
      </c>
      <c r="Z33" s="300"/>
      <c r="AA33" s="299">
        <v>0</v>
      </c>
      <c r="AB33" s="300"/>
      <c r="AC33" s="299">
        <v>0</v>
      </c>
      <c r="AD33" s="300"/>
      <c r="AE33" s="299">
        <v>0</v>
      </c>
      <c r="AF33" s="300"/>
      <c r="AG33" s="299">
        <v>0</v>
      </c>
      <c r="AH33" s="300"/>
      <c r="AI33" s="299">
        <v>0</v>
      </c>
      <c r="AJ33" s="300"/>
      <c r="AK33" s="299">
        <v>0</v>
      </c>
      <c r="AL33" s="300"/>
      <c r="AM33" s="299">
        <v>0</v>
      </c>
      <c r="AN33" s="300"/>
      <c r="AO33" s="311">
        <f t="shared" ref="AO33:AO38" si="0">E33+K33+G33+I33+M33+O33+Q33+S33+U33+W33+Y33+AA33+AC33+AE33+AG33+AI33+AK33+AM33</f>
        <v>11486630</v>
      </c>
      <c r="AP33" s="297"/>
      <c r="AQ33" s="262"/>
      <c r="AR33" s="327" t="s">
        <v>468</v>
      </c>
      <c r="AS33" s="328">
        <v>76843</v>
      </c>
      <c r="AT33" s="329"/>
      <c r="AU33" s="330">
        <f>AS33/$AS$45</f>
        <v>0.30702812849608441</v>
      </c>
      <c r="AV33" s="329"/>
      <c r="AW33" s="331">
        <f t="shared" ref="AW33:AW44" si="1">AU33*$AW$45</f>
        <v>80917.570293271536</v>
      </c>
      <c r="AX33" s="329"/>
      <c r="AY33" s="332">
        <f>AW33*0.7</f>
        <v>56642.299205290074</v>
      </c>
      <c r="AZ33" s="332">
        <f>AV33*0.7</f>
        <v>0</v>
      </c>
      <c r="BA33" s="332">
        <f>AW33-AY33</f>
        <v>24275.271087981462</v>
      </c>
    </row>
    <row r="34" spans="1:53" s="312" customFormat="1" ht="21.75" customHeight="1" x14ac:dyDescent="0.3">
      <c r="A34" s="297"/>
      <c r="B34" s="298" t="s">
        <v>469</v>
      </c>
      <c r="C34" s="326" t="s">
        <v>109</v>
      </c>
      <c r="D34" s="310"/>
      <c r="E34" s="299">
        <v>4102950</v>
      </c>
      <c r="F34" s="300"/>
      <c r="G34" s="299">
        <v>0</v>
      </c>
      <c r="H34" s="300"/>
      <c r="I34" s="299">
        <v>0</v>
      </c>
      <c r="J34" s="300"/>
      <c r="K34" s="299">
        <v>0</v>
      </c>
      <c r="L34" s="300"/>
      <c r="M34" s="299">
        <v>0</v>
      </c>
      <c r="N34" s="300"/>
      <c r="O34" s="299">
        <v>71291</v>
      </c>
      <c r="P34" s="300"/>
      <c r="Q34" s="299">
        <v>0</v>
      </c>
      <c r="R34" s="300"/>
      <c r="S34" s="299">
        <v>0</v>
      </c>
      <c r="T34" s="300"/>
      <c r="U34" s="299">
        <v>0</v>
      </c>
      <c r="V34" s="300"/>
      <c r="W34" s="299">
        <v>0</v>
      </c>
      <c r="X34" s="300"/>
      <c r="Y34" s="299">
        <v>0</v>
      </c>
      <c r="Z34" s="300"/>
      <c r="AA34" s="299">
        <v>0</v>
      </c>
      <c r="AB34" s="300"/>
      <c r="AC34" s="299">
        <v>0</v>
      </c>
      <c r="AD34" s="300"/>
      <c r="AE34" s="299">
        <v>0</v>
      </c>
      <c r="AF34" s="300"/>
      <c r="AG34" s="299">
        <v>0</v>
      </c>
      <c r="AH34" s="300"/>
      <c r="AI34" s="299">
        <v>0</v>
      </c>
      <c r="AJ34" s="300"/>
      <c r="AK34" s="299">
        <v>0</v>
      </c>
      <c r="AL34" s="300"/>
      <c r="AM34" s="299">
        <v>0</v>
      </c>
      <c r="AN34" s="300"/>
      <c r="AO34" s="311">
        <f t="shared" si="0"/>
        <v>4174241</v>
      </c>
      <c r="AP34" s="297"/>
      <c r="AQ34" s="262"/>
      <c r="AR34" s="327" t="s">
        <v>468</v>
      </c>
      <c r="AS34" s="328">
        <v>32931</v>
      </c>
      <c r="AT34" s="329"/>
      <c r="AU34" s="330">
        <f t="shared" ref="AU34:AU44" si="2">AS34/$AS$45</f>
        <v>0.13157663416972989</v>
      </c>
      <c r="AV34" s="329"/>
      <c r="AW34" s="331">
        <f t="shared" si="1"/>
        <v>34677.153512066485</v>
      </c>
      <c r="AX34" s="329"/>
      <c r="AY34" s="332">
        <f t="shared" ref="AY34:AY44" si="3">AW34*0.7</f>
        <v>24274.007458446536</v>
      </c>
      <c r="AZ34" s="332">
        <f t="shared" ref="AZ34:AZ44" si="4">AV34*0.7</f>
        <v>0</v>
      </c>
      <c r="BA34" s="332">
        <f t="shared" ref="BA34:BA44" si="5">AW34-AY34</f>
        <v>10403.146053619948</v>
      </c>
    </row>
    <row r="35" spans="1:53" s="312" customFormat="1" ht="37.5" x14ac:dyDescent="0.3">
      <c r="A35" s="297"/>
      <c r="B35" s="298" t="s">
        <v>470</v>
      </c>
      <c r="C35" s="326" t="s">
        <v>111</v>
      </c>
      <c r="D35" s="310"/>
      <c r="E35" s="299">
        <v>590717</v>
      </c>
      <c r="F35" s="300"/>
      <c r="G35" s="299">
        <v>0</v>
      </c>
      <c r="H35" s="300"/>
      <c r="I35" s="299">
        <v>0</v>
      </c>
      <c r="J35" s="300"/>
      <c r="K35" s="299">
        <v>0</v>
      </c>
      <c r="L35" s="300"/>
      <c r="M35" s="299">
        <v>0</v>
      </c>
      <c r="N35" s="300"/>
      <c r="O35" s="299">
        <v>16171</v>
      </c>
      <c r="P35" s="300"/>
      <c r="Q35" s="299">
        <v>141390</v>
      </c>
      <c r="R35" s="300"/>
      <c r="S35" s="299">
        <v>0</v>
      </c>
      <c r="T35" s="300"/>
      <c r="U35" s="299">
        <v>0</v>
      </c>
      <c r="V35" s="300"/>
      <c r="W35" s="299">
        <v>0</v>
      </c>
      <c r="X35" s="300"/>
      <c r="Y35" s="299">
        <v>0</v>
      </c>
      <c r="Z35" s="300"/>
      <c r="AA35" s="299">
        <v>0</v>
      </c>
      <c r="AB35" s="300"/>
      <c r="AC35" s="299">
        <v>0</v>
      </c>
      <c r="AD35" s="300"/>
      <c r="AE35" s="299">
        <v>0</v>
      </c>
      <c r="AF35" s="300"/>
      <c r="AG35" s="299">
        <v>0</v>
      </c>
      <c r="AH35" s="300"/>
      <c r="AI35" s="299">
        <v>0</v>
      </c>
      <c r="AJ35" s="300"/>
      <c r="AK35" s="299">
        <v>0</v>
      </c>
      <c r="AL35" s="300"/>
      <c r="AM35" s="299">
        <v>0</v>
      </c>
      <c r="AN35" s="300"/>
      <c r="AO35" s="311">
        <f t="shared" si="0"/>
        <v>748278</v>
      </c>
      <c r="AP35" s="297"/>
      <c r="AQ35" s="262"/>
      <c r="AR35" s="327" t="s">
        <v>468</v>
      </c>
      <c r="AS35" s="328">
        <v>52697</v>
      </c>
      <c r="AT35" s="329"/>
      <c r="AU35" s="330">
        <f t="shared" si="2"/>
        <v>0.21055218155665653</v>
      </c>
      <c r="AV35" s="329"/>
      <c r="AW35" s="331">
        <f t="shared" si="1"/>
        <v>55491.238001438389</v>
      </c>
      <c r="AX35" s="329"/>
      <c r="AY35" s="332">
        <f t="shared" si="3"/>
        <v>38843.86660100687</v>
      </c>
      <c r="AZ35" s="332">
        <f t="shared" si="4"/>
        <v>0</v>
      </c>
      <c r="BA35" s="332">
        <f t="shared" si="5"/>
        <v>16647.371400431519</v>
      </c>
    </row>
    <row r="36" spans="1:53" s="312" customFormat="1" ht="21.75" customHeight="1" x14ac:dyDescent="0.3">
      <c r="A36" s="297"/>
      <c r="B36" s="298" t="s">
        <v>471</v>
      </c>
      <c r="C36" s="326" t="s">
        <v>112</v>
      </c>
      <c r="D36" s="310"/>
      <c r="E36" s="299">
        <v>763974</v>
      </c>
      <c r="F36" s="300"/>
      <c r="G36" s="299">
        <v>0</v>
      </c>
      <c r="H36" s="300"/>
      <c r="I36" s="299">
        <v>0</v>
      </c>
      <c r="J36" s="300"/>
      <c r="K36" s="299">
        <v>0</v>
      </c>
      <c r="L36" s="300"/>
      <c r="M36" s="299">
        <v>0</v>
      </c>
      <c r="N36" s="300"/>
      <c r="O36" s="299">
        <v>62042</v>
      </c>
      <c r="P36" s="300"/>
      <c r="Q36" s="299">
        <v>31360</v>
      </c>
      <c r="R36" s="300"/>
      <c r="S36" s="299">
        <v>0</v>
      </c>
      <c r="T36" s="300"/>
      <c r="U36" s="299">
        <v>0</v>
      </c>
      <c r="V36" s="300"/>
      <c r="W36" s="299">
        <v>0</v>
      </c>
      <c r="X36" s="300"/>
      <c r="Y36" s="299">
        <v>589035</v>
      </c>
      <c r="Z36" s="300"/>
      <c r="AA36" s="299">
        <v>0</v>
      </c>
      <c r="AB36" s="300"/>
      <c r="AC36" s="299">
        <v>0</v>
      </c>
      <c r="AD36" s="300"/>
      <c r="AE36" s="299">
        <v>0</v>
      </c>
      <c r="AF36" s="300"/>
      <c r="AG36" s="299">
        <v>0</v>
      </c>
      <c r="AH36" s="300"/>
      <c r="AI36" s="299">
        <v>0</v>
      </c>
      <c r="AJ36" s="300"/>
      <c r="AK36" s="299">
        <v>0</v>
      </c>
      <c r="AL36" s="300"/>
      <c r="AM36" s="299">
        <v>0</v>
      </c>
      <c r="AN36" s="300"/>
      <c r="AO36" s="311">
        <f t="shared" si="0"/>
        <v>1446411</v>
      </c>
      <c r="AP36" s="297"/>
      <c r="AQ36" s="262"/>
      <c r="AR36" s="327">
        <v>2100</v>
      </c>
      <c r="AS36" s="328">
        <v>21103</v>
      </c>
      <c r="AT36" s="329"/>
      <c r="AU36" s="330">
        <f t="shared" si="2"/>
        <v>8.431756432795269E-2</v>
      </c>
      <c r="AV36" s="329"/>
      <c r="AW36" s="331">
        <f t="shared" si="1"/>
        <v>22221.97839619626</v>
      </c>
      <c r="AX36" s="329"/>
      <c r="AY36" s="332">
        <f t="shared" si="3"/>
        <v>15555.384877337381</v>
      </c>
      <c r="AZ36" s="332">
        <f t="shared" si="4"/>
        <v>0</v>
      </c>
      <c r="BA36" s="332">
        <f t="shared" si="5"/>
        <v>6666.5935188588792</v>
      </c>
    </row>
    <row r="37" spans="1:53" s="312" customFormat="1" ht="21.75" customHeight="1" x14ac:dyDescent="0.3">
      <c r="A37" s="297"/>
      <c r="B37" s="298" t="s">
        <v>472</v>
      </c>
      <c r="C37" s="326" t="s">
        <v>113</v>
      </c>
      <c r="D37" s="310"/>
      <c r="E37" s="299">
        <v>0</v>
      </c>
      <c r="F37" s="300"/>
      <c r="G37" s="299">
        <v>0</v>
      </c>
      <c r="H37" s="300"/>
      <c r="I37" s="299">
        <v>0</v>
      </c>
      <c r="J37" s="300"/>
      <c r="K37" s="299">
        <v>0</v>
      </c>
      <c r="L37" s="300"/>
      <c r="M37" s="299">
        <v>0</v>
      </c>
      <c r="N37" s="300"/>
      <c r="O37" s="299">
        <v>0</v>
      </c>
      <c r="P37" s="300"/>
      <c r="Q37" s="299">
        <v>0</v>
      </c>
      <c r="R37" s="300"/>
      <c r="S37" s="299">
        <v>0</v>
      </c>
      <c r="T37" s="300"/>
      <c r="U37" s="299">
        <v>0</v>
      </c>
      <c r="V37" s="300"/>
      <c r="W37" s="299">
        <v>0</v>
      </c>
      <c r="X37" s="300"/>
      <c r="Y37" s="299">
        <v>0</v>
      </c>
      <c r="Z37" s="300"/>
      <c r="AA37" s="299">
        <v>0</v>
      </c>
      <c r="AB37" s="300"/>
      <c r="AC37" s="299">
        <v>0</v>
      </c>
      <c r="AD37" s="300"/>
      <c r="AE37" s="299">
        <v>325000</v>
      </c>
      <c r="AF37" s="300"/>
      <c r="AG37" s="299">
        <v>0</v>
      </c>
      <c r="AH37" s="300"/>
      <c r="AI37" s="299">
        <v>0</v>
      </c>
      <c r="AJ37" s="300"/>
      <c r="AK37" s="299">
        <v>0</v>
      </c>
      <c r="AL37" s="300"/>
      <c r="AM37" s="299">
        <v>0</v>
      </c>
      <c r="AN37" s="300"/>
      <c r="AO37" s="311">
        <f t="shared" si="0"/>
        <v>325000</v>
      </c>
      <c r="AP37" s="297"/>
      <c r="AQ37" s="262"/>
      <c r="AR37" s="327">
        <v>2200</v>
      </c>
      <c r="AS37" s="328">
        <v>1029</v>
      </c>
      <c r="AT37" s="329"/>
      <c r="AU37" s="330">
        <f t="shared" si="2"/>
        <v>4.1113952373341856E-3</v>
      </c>
      <c r="AV37" s="329"/>
      <c r="AW37" s="331">
        <f t="shared" si="1"/>
        <v>1083.5623261946619</v>
      </c>
      <c r="AX37" s="329"/>
      <c r="AY37" s="332">
        <f t="shared" si="3"/>
        <v>758.49362833626321</v>
      </c>
      <c r="AZ37" s="332">
        <f t="shared" si="4"/>
        <v>0</v>
      </c>
      <c r="BA37" s="332">
        <f t="shared" si="5"/>
        <v>325.06869785839865</v>
      </c>
    </row>
    <row r="38" spans="1:53" s="312" customFormat="1" ht="21.75" customHeight="1" thickBot="1" x14ac:dyDescent="0.35">
      <c r="A38" s="297"/>
      <c r="B38" s="298" t="s">
        <v>473</v>
      </c>
      <c r="C38" s="326" t="s">
        <v>114</v>
      </c>
      <c r="D38" s="297"/>
      <c r="E38" s="299">
        <v>2450</v>
      </c>
      <c r="F38" s="300"/>
      <c r="G38" s="299">
        <v>0</v>
      </c>
      <c r="H38" s="300"/>
      <c r="I38" s="299">
        <v>0</v>
      </c>
      <c r="J38" s="300"/>
      <c r="K38" s="299">
        <v>0</v>
      </c>
      <c r="L38" s="300"/>
      <c r="M38" s="299">
        <v>0</v>
      </c>
      <c r="N38" s="300"/>
      <c r="O38" s="299">
        <v>0</v>
      </c>
      <c r="P38" s="300"/>
      <c r="Q38" s="299">
        <v>20740</v>
      </c>
      <c r="R38" s="300"/>
      <c r="S38" s="299">
        <v>0</v>
      </c>
      <c r="T38" s="300"/>
      <c r="U38" s="299">
        <v>0</v>
      </c>
      <c r="V38" s="300"/>
      <c r="W38" s="299">
        <v>0</v>
      </c>
      <c r="X38" s="300"/>
      <c r="Y38" s="299">
        <v>0</v>
      </c>
      <c r="Z38" s="300"/>
      <c r="AA38" s="299">
        <v>0</v>
      </c>
      <c r="AB38" s="300"/>
      <c r="AC38" s="299">
        <v>0</v>
      </c>
      <c r="AD38" s="300"/>
      <c r="AE38" s="299">
        <v>0</v>
      </c>
      <c r="AF38" s="300"/>
      <c r="AG38" s="299">
        <v>0</v>
      </c>
      <c r="AH38" s="300"/>
      <c r="AI38" s="299">
        <v>0</v>
      </c>
      <c r="AJ38" s="300"/>
      <c r="AK38" s="299">
        <v>0</v>
      </c>
      <c r="AL38" s="300"/>
      <c r="AM38" s="299">
        <v>0</v>
      </c>
      <c r="AN38" s="300"/>
      <c r="AO38" s="311">
        <f t="shared" si="0"/>
        <v>23190</v>
      </c>
      <c r="AP38" s="297"/>
      <c r="AQ38" s="262"/>
      <c r="AR38" s="327">
        <v>2300</v>
      </c>
      <c r="AS38" s="328">
        <v>2059</v>
      </c>
      <c r="AT38" s="329"/>
      <c r="AU38" s="330">
        <f t="shared" si="2"/>
        <v>8.2267859996803579E-3</v>
      </c>
      <c r="AV38" s="329"/>
      <c r="AW38" s="331">
        <f t="shared" si="1"/>
        <v>2168.1776770017582</v>
      </c>
      <c r="AX38" s="329"/>
      <c r="AY38" s="332">
        <f t="shared" si="3"/>
        <v>1517.7243739012306</v>
      </c>
      <c r="AZ38" s="332">
        <f t="shared" si="4"/>
        <v>0</v>
      </c>
      <c r="BA38" s="332">
        <f t="shared" si="5"/>
        <v>650.45330310052759</v>
      </c>
    </row>
    <row r="39" spans="1:53" s="312" customFormat="1" ht="21.75" customHeight="1" thickBot="1" x14ac:dyDescent="0.35">
      <c r="A39" s="297"/>
      <c r="B39" s="314" t="s">
        <v>474</v>
      </c>
      <c r="C39" s="315"/>
      <c r="D39" s="316"/>
      <c r="E39" s="317">
        <f>SUM(E33:E38)</f>
        <v>16746184</v>
      </c>
      <c r="F39" s="318"/>
      <c r="G39" s="317">
        <f>SUM(G33:G38)</f>
        <v>0</v>
      </c>
      <c r="H39" s="318"/>
      <c r="I39" s="317">
        <f>SUM(I33:I38)</f>
        <v>0</v>
      </c>
      <c r="J39" s="318"/>
      <c r="K39" s="317">
        <f>SUM(K33:K38)</f>
        <v>0</v>
      </c>
      <c r="L39" s="318"/>
      <c r="M39" s="317">
        <f>SUM(M33:M38)</f>
        <v>0</v>
      </c>
      <c r="N39" s="318"/>
      <c r="O39" s="317">
        <f>SUM(O33:O38)</f>
        <v>337556</v>
      </c>
      <c r="P39" s="318"/>
      <c r="Q39" s="317">
        <f>SUM(Q33:Q38)</f>
        <v>205975</v>
      </c>
      <c r="R39" s="318"/>
      <c r="S39" s="317">
        <f>SUM(S33:S38)</f>
        <v>0</v>
      </c>
      <c r="T39" s="318"/>
      <c r="U39" s="317">
        <f>SUM(U33:U38)</f>
        <v>0</v>
      </c>
      <c r="V39" s="318"/>
      <c r="W39" s="317">
        <f>SUM(W33:W38)</f>
        <v>0</v>
      </c>
      <c r="X39" s="318"/>
      <c r="Y39" s="317">
        <f>SUM(Y33:Y38)</f>
        <v>589035</v>
      </c>
      <c r="Z39" s="318"/>
      <c r="AA39" s="317">
        <f>SUM(AA33:AA38)</f>
        <v>0</v>
      </c>
      <c r="AB39" s="318"/>
      <c r="AC39" s="317">
        <f>SUM(AC33:AC38)</f>
        <v>0</v>
      </c>
      <c r="AD39" s="318"/>
      <c r="AE39" s="317">
        <f>SUM(AE33:AE38)</f>
        <v>325000</v>
      </c>
      <c r="AF39" s="318"/>
      <c r="AG39" s="317">
        <f>SUM(AG33:AG38)</f>
        <v>0</v>
      </c>
      <c r="AH39" s="318"/>
      <c r="AI39" s="317">
        <f>SUM(AI33:AI38)</f>
        <v>0</v>
      </c>
      <c r="AJ39" s="318"/>
      <c r="AK39" s="317">
        <f>SUM(AK33:AK38)</f>
        <v>0</v>
      </c>
      <c r="AL39" s="318"/>
      <c r="AM39" s="317">
        <f>SUM(AM33:AM38)</f>
        <v>0</v>
      </c>
      <c r="AN39" s="318"/>
      <c r="AO39" s="317">
        <f>SUM(AO33:AO38)</f>
        <v>18203750</v>
      </c>
      <c r="AP39" s="297"/>
      <c r="AQ39" s="262"/>
      <c r="AR39" s="327">
        <v>2400</v>
      </c>
      <c r="AS39" s="328">
        <v>17500</v>
      </c>
      <c r="AT39" s="329"/>
      <c r="AU39" s="330">
        <f t="shared" si="2"/>
        <v>6.9921687709765062E-2</v>
      </c>
      <c r="AV39" s="329"/>
      <c r="AW39" s="331">
        <f t="shared" si="1"/>
        <v>18427.930717596293</v>
      </c>
      <c r="AX39" s="329"/>
      <c r="AY39" s="332">
        <f t="shared" si="3"/>
        <v>12899.551502317405</v>
      </c>
      <c r="AZ39" s="332">
        <f t="shared" si="4"/>
        <v>0</v>
      </c>
      <c r="BA39" s="332">
        <f t="shared" si="5"/>
        <v>5528.3792152788883</v>
      </c>
    </row>
    <row r="40" spans="1:53" s="312" customFormat="1" ht="21.75" customHeight="1" x14ac:dyDescent="0.3">
      <c r="A40" s="297"/>
      <c r="B40" s="333"/>
      <c r="C40" s="334"/>
      <c r="D40" s="297"/>
      <c r="E40" s="335"/>
      <c r="F40" s="319"/>
      <c r="G40" s="335"/>
      <c r="H40" s="319"/>
      <c r="I40" s="335"/>
      <c r="J40" s="319"/>
      <c r="K40" s="335"/>
      <c r="L40" s="319"/>
      <c r="M40" s="335"/>
      <c r="N40" s="319"/>
      <c r="O40" s="335"/>
      <c r="P40" s="319"/>
      <c r="Q40" s="335"/>
      <c r="R40" s="319"/>
      <c r="S40" s="335"/>
      <c r="T40" s="319"/>
      <c r="U40" s="335"/>
      <c r="V40" s="319"/>
      <c r="W40" s="335"/>
      <c r="X40" s="319"/>
      <c r="Y40" s="335"/>
      <c r="Z40" s="319"/>
      <c r="AA40" s="335"/>
      <c r="AB40" s="319"/>
      <c r="AC40" s="335"/>
      <c r="AD40" s="319"/>
      <c r="AE40" s="335"/>
      <c r="AF40" s="319"/>
      <c r="AG40" s="335"/>
      <c r="AH40" s="319"/>
      <c r="AI40" s="335"/>
      <c r="AJ40" s="319"/>
      <c r="AK40" s="335"/>
      <c r="AL40" s="319"/>
      <c r="AM40" s="335"/>
      <c r="AN40" s="319"/>
      <c r="AO40" s="335"/>
      <c r="AP40" s="297"/>
      <c r="AQ40" s="262"/>
      <c r="AR40" s="327">
        <v>2500</v>
      </c>
      <c r="AS40" s="328">
        <v>5662</v>
      </c>
      <c r="AT40" s="329"/>
      <c r="AU40" s="330">
        <f t="shared" si="2"/>
        <v>2.2622662617867988E-2</v>
      </c>
      <c r="AV40" s="329"/>
      <c r="AW40" s="331">
        <f t="shared" si="1"/>
        <v>5962.2253556017258</v>
      </c>
      <c r="AX40" s="329"/>
      <c r="AY40" s="332">
        <f t="shared" si="3"/>
        <v>4173.5577489212083</v>
      </c>
      <c r="AZ40" s="332">
        <f t="shared" si="4"/>
        <v>0</v>
      </c>
      <c r="BA40" s="332">
        <f t="shared" si="5"/>
        <v>1788.6676066805176</v>
      </c>
    </row>
    <row r="41" spans="1:53" s="312" customFormat="1" ht="21.75" customHeight="1" x14ac:dyDescent="0.3">
      <c r="A41" s="297"/>
      <c r="B41" s="298" t="s">
        <v>115</v>
      </c>
      <c r="C41" s="309"/>
      <c r="D41" s="310"/>
      <c r="E41" s="311"/>
      <c r="F41" s="319"/>
      <c r="G41" s="311"/>
      <c r="H41" s="319"/>
      <c r="I41" s="311"/>
      <c r="J41" s="319"/>
      <c r="K41" s="311"/>
      <c r="L41" s="319"/>
      <c r="M41" s="311"/>
      <c r="N41" s="319"/>
      <c r="O41" s="311"/>
      <c r="P41" s="319"/>
      <c r="Q41" s="311"/>
      <c r="R41" s="319"/>
      <c r="S41" s="311"/>
      <c r="T41" s="319"/>
      <c r="U41" s="311"/>
      <c r="V41" s="319"/>
      <c r="W41" s="311"/>
      <c r="X41" s="319"/>
      <c r="Y41" s="311"/>
      <c r="Z41" s="319"/>
      <c r="AA41" s="311"/>
      <c r="AB41" s="319"/>
      <c r="AC41" s="311"/>
      <c r="AD41" s="319"/>
      <c r="AE41" s="311"/>
      <c r="AF41" s="319"/>
      <c r="AG41" s="311"/>
      <c r="AH41" s="319"/>
      <c r="AI41" s="311"/>
      <c r="AJ41" s="319"/>
      <c r="AK41" s="311"/>
      <c r="AL41" s="319"/>
      <c r="AM41" s="311"/>
      <c r="AN41" s="319"/>
      <c r="AO41" s="311"/>
      <c r="AP41" s="297"/>
      <c r="AQ41" s="262"/>
      <c r="AR41" s="327">
        <v>2600</v>
      </c>
      <c r="AS41" s="328">
        <v>9265</v>
      </c>
      <c r="AT41" s="329"/>
      <c r="AU41" s="330">
        <f t="shared" si="2"/>
        <v>3.7018539236055616E-2</v>
      </c>
      <c r="AV41" s="329"/>
      <c r="AW41" s="331">
        <f t="shared" si="1"/>
        <v>9756.273034201693</v>
      </c>
      <c r="AX41" s="329"/>
      <c r="AY41" s="332">
        <f t="shared" si="3"/>
        <v>6829.3911239411846</v>
      </c>
      <c r="AZ41" s="332">
        <f t="shared" si="4"/>
        <v>0</v>
      </c>
      <c r="BA41" s="332">
        <f t="shared" si="5"/>
        <v>2926.8819102605084</v>
      </c>
    </row>
    <row r="42" spans="1:53" s="312" customFormat="1" ht="21.75" customHeight="1" x14ac:dyDescent="0.3">
      <c r="A42" s="297"/>
      <c r="B42" s="298" t="s">
        <v>116</v>
      </c>
      <c r="C42" s="309"/>
      <c r="D42" s="310"/>
      <c r="E42" s="311"/>
      <c r="F42" s="319"/>
      <c r="G42" s="311"/>
      <c r="H42" s="319"/>
      <c r="I42" s="311"/>
      <c r="J42" s="319"/>
      <c r="K42" s="311"/>
      <c r="L42" s="319"/>
      <c r="M42" s="311"/>
      <c r="N42" s="319"/>
      <c r="O42" s="311"/>
      <c r="P42" s="319"/>
      <c r="Q42" s="311"/>
      <c r="R42" s="319"/>
      <c r="S42" s="311"/>
      <c r="T42" s="319"/>
      <c r="U42" s="311"/>
      <c r="V42" s="319"/>
      <c r="W42" s="311"/>
      <c r="X42" s="319"/>
      <c r="Y42" s="311"/>
      <c r="Z42" s="319"/>
      <c r="AA42" s="311"/>
      <c r="AB42" s="319"/>
      <c r="AC42" s="311"/>
      <c r="AD42" s="319"/>
      <c r="AE42" s="311"/>
      <c r="AF42" s="319"/>
      <c r="AG42" s="311"/>
      <c r="AH42" s="319"/>
      <c r="AI42" s="311"/>
      <c r="AJ42" s="319"/>
      <c r="AK42" s="311"/>
      <c r="AL42" s="319"/>
      <c r="AM42" s="311"/>
      <c r="AN42" s="319"/>
      <c r="AO42" s="311"/>
      <c r="AP42" s="297"/>
      <c r="AQ42" s="262"/>
      <c r="AR42" s="327">
        <v>2700</v>
      </c>
      <c r="AS42" s="328">
        <v>11632</v>
      </c>
      <c r="AT42" s="329"/>
      <c r="AU42" s="330">
        <f t="shared" si="2"/>
        <v>4.6475946939427838E-2</v>
      </c>
      <c r="AV42" s="329"/>
      <c r="AW42" s="331">
        <f t="shared" si="1"/>
        <v>12248.782291833146</v>
      </c>
      <c r="AX42" s="329"/>
      <c r="AY42" s="332">
        <f t="shared" si="3"/>
        <v>8574.1476042832019</v>
      </c>
      <c r="AZ42" s="332">
        <f t="shared" si="4"/>
        <v>0</v>
      </c>
      <c r="BA42" s="332">
        <f t="shared" si="5"/>
        <v>3674.6346875499439</v>
      </c>
    </row>
    <row r="43" spans="1:53" s="312" customFormat="1" ht="21.75" customHeight="1" x14ac:dyDescent="0.3">
      <c r="A43" s="297"/>
      <c r="B43" s="298" t="s">
        <v>467</v>
      </c>
      <c r="C43" s="326" t="s">
        <v>108</v>
      </c>
      <c r="D43" s="310"/>
      <c r="E43" s="299">
        <v>948151</v>
      </c>
      <c r="F43" s="300"/>
      <c r="G43" s="313">
        <v>0</v>
      </c>
      <c r="H43" s="300"/>
      <c r="I43" s="313">
        <v>0</v>
      </c>
      <c r="J43" s="300"/>
      <c r="K43" s="313">
        <v>0</v>
      </c>
      <c r="L43" s="300"/>
      <c r="M43" s="313">
        <v>0</v>
      </c>
      <c r="N43" s="300"/>
      <c r="O43" s="313">
        <v>0</v>
      </c>
      <c r="P43" s="300"/>
      <c r="Q43" s="313">
        <v>0</v>
      </c>
      <c r="R43" s="300"/>
      <c r="S43" s="313">
        <v>0</v>
      </c>
      <c r="T43" s="300"/>
      <c r="U43" s="313">
        <v>0</v>
      </c>
      <c r="V43" s="300"/>
      <c r="W43" s="313">
        <v>0</v>
      </c>
      <c r="X43" s="300"/>
      <c r="Y43" s="299">
        <v>0</v>
      </c>
      <c r="Z43" s="300"/>
      <c r="AA43" s="313">
        <v>0</v>
      </c>
      <c r="AB43" s="300"/>
      <c r="AC43" s="313">
        <v>0</v>
      </c>
      <c r="AD43" s="300"/>
      <c r="AE43" s="313">
        <v>0</v>
      </c>
      <c r="AF43" s="300"/>
      <c r="AG43" s="313">
        <v>0</v>
      </c>
      <c r="AH43" s="300"/>
      <c r="AI43" s="299">
        <v>0</v>
      </c>
      <c r="AJ43" s="300"/>
      <c r="AK43" s="313">
        <v>0</v>
      </c>
      <c r="AL43" s="300"/>
      <c r="AM43" s="313">
        <v>0</v>
      </c>
      <c r="AN43" s="300"/>
      <c r="AO43" s="311">
        <f t="shared" ref="AO43:AO48" si="6">E43+K43+G43+I43+M43+O43+Q43+S43+U43+W43+Y43+AA43+AC43+AE43+AG43+AI43+AK43+AM43</f>
        <v>948151</v>
      </c>
      <c r="AP43" s="297"/>
      <c r="AQ43" s="262"/>
      <c r="AR43" s="327">
        <v>2800</v>
      </c>
      <c r="AS43" s="328">
        <v>7206</v>
      </c>
      <c r="AT43" s="329"/>
      <c r="AU43" s="330">
        <f t="shared" si="2"/>
        <v>2.8791753236375259E-2</v>
      </c>
      <c r="AV43" s="329"/>
      <c r="AW43" s="331">
        <f t="shared" si="1"/>
        <v>7588.0953571999362</v>
      </c>
      <c r="AX43" s="329"/>
      <c r="AY43" s="332">
        <f t="shared" si="3"/>
        <v>5311.6667500399553</v>
      </c>
      <c r="AZ43" s="332">
        <f t="shared" si="4"/>
        <v>0</v>
      </c>
      <c r="BA43" s="332">
        <f t="shared" si="5"/>
        <v>2276.4286071599809</v>
      </c>
    </row>
    <row r="44" spans="1:53" s="312" customFormat="1" ht="18.75" x14ac:dyDescent="0.3">
      <c r="A44" s="297"/>
      <c r="B44" s="298" t="s">
        <v>469</v>
      </c>
      <c r="C44" s="326" t="s">
        <v>109</v>
      </c>
      <c r="D44" s="310"/>
      <c r="E44" s="299">
        <v>338956</v>
      </c>
      <c r="F44" s="300"/>
      <c r="G44" s="313">
        <v>0</v>
      </c>
      <c r="H44" s="300"/>
      <c r="I44" s="313">
        <v>0</v>
      </c>
      <c r="J44" s="300"/>
      <c r="K44" s="313">
        <v>0</v>
      </c>
      <c r="L44" s="300"/>
      <c r="M44" s="313">
        <v>0</v>
      </c>
      <c r="N44" s="300"/>
      <c r="O44" s="313">
        <v>0</v>
      </c>
      <c r="P44" s="300"/>
      <c r="Q44" s="313">
        <v>0</v>
      </c>
      <c r="R44" s="300"/>
      <c r="S44" s="313">
        <v>0</v>
      </c>
      <c r="T44" s="300"/>
      <c r="U44" s="313">
        <v>0</v>
      </c>
      <c r="V44" s="300"/>
      <c r="W44" s="313">
        <v>0</v>
      </c>
      <c r="X44" s="300"/>
      <c r="Y44" s="299">
        <v>0</v>
      </c>
      <c r="Z44" s="300"/>
      <c r="AA44" s="313">
        <v>0</v>
      </c>
      <c r="AB44" s="300"/>
      <c r="AC44" s="313">
        <v>0</v>
      </c>
      <c r="AD44" s="300"/>
      <c r="AE44" s="313">
        <v>0</v>
      </c>
      <c r="AF44" s="300"/>
      <c r="AG44" s="313">
        <v>0</v>
      </c>
      <c r="AH44" s="300"/>
      <c r="AI44" s="299">
        <v>0</v>
      </c>
      <c r="AJ44" s="300"/>
      <c r="AK44" s="313">
        <v>0</v>
      </c>
      <c r="AL44" s="300"/>
      <c r="AM44" s="313">
        <v>0</v>
      </c>
      <c r="AN44" s="300"/>
      <c r="AO44" s="311">
        <f t="shared" si="6"/>
        <v>338956</v>
      </c>
      <c r="AP44" s="297"/>
      <c r="AQ44" s="262"/>
      <c r="AR44" s="327" t="s">
        <v>475</v>
      </c>
      <c r="AS44" s="328">
        <v>12353</v>
      </c>
      <c r="AT44" s="329"/>
      <c r="AU44" s="330">
        <f t="shared" si="2"/>
        <v>4.9356720473070159E-2</v>
      </c>
      <c r="AV44" s="329"/>
      <c r="AW44" s="331">
        <f t="shared" si="1"/>
        <v>13008.013037398114</v>
      </c>
      <c r="AX44" s="329"/>
      <c r="AY44" s="332">
        <f t="shared" si="3"/>
        <v>9105.6091261786787</v>
      </c>
      <c r="AZ44" s="332">
        <f t="shared" si="4"/>
        <v>0</v>
      </c>
      <c r="BA44" s="332">
        <f t="shared" si="5"/>
        <v>3902.403911219435</v>
      </c>
    </row>
    <row r="45" spans="1:53" s="312" customFormat="1" ht="37.5" x14ac:dyDescent="0.3">
      <c r="A45" s="297"/>
      <c r="B45" s="298" t="s">
        <v>470</v>
      </c>
      <c r="C45" s="326" t="s">
        <v>111</v>
      </c>
      <c r="D45" s="310"/>
      <c r="E45" s="299">
        <v>102800</v>
      </c>
      <c r="F45" s="300"/>
      <c r="G45" s="313">
        <v>0</v>
      </c>
      <c r="H45" s="300"/>
      <c r="I45" s="313">
        <v>0</v>
      </c>
      <c r="J45" s="300"/>
      <c r="K45" s="313">
        <v>0</v>
      </c>
      <c r="L45" s="300"/>
      <c r="M45" s="313">
        <v>0</v>
      </c>
      <c r="N45" s="300"/>
      <c r="O45" s="313">
        <v>0</v>
      </c>
      <c r="P45" s="300"/>
      <c r="Q45" s="313">
        <v>0</v>
      </c>
      <c r="R45" s="300"/>
      <c r="S45" s="313">
        <v>0</v>
      </c>
      <c r="T45" s="300"/>
      <c r="U45" s="313">
        <v>0</v>
      </c>
      <c r="V45" s="300"/>
      <c r="W45" s="313">
        <v>0</v>
      </c>
      <c r="X45" s="300"/>
      <c r="Y45" s="299">
        <v>0</v>
      </c>
      <c r="Z45" s="300"/>
      <c r="AA45" s="313">
        <v>0</v>
      </c>
      <c r="AB45" s="300"/>
      <c r="AC45" s="313">
        <v>0</v>
      </c>
      <c r="AD45" s="300"/>
      <c r="AE45" s="313">
        <v>0</v>
      </c>
      <c r="AF45" s="300"/>
      <c r="AG45" s="313">
        <v>0</v>
      </c>
      <c r="AH45" s="300"/>
      <c r="AI45" s="299">
        <v>0</v>
      </c>
      <c r="AJ45" s="300"/>
      <c r="AK45" s="313">
        <v>0</v>
      </c>
      <c r="AL45" s="300"/>
      <c r="AM45" s="313">
        <v>0</v>
      </c>
      <c r="AN45" s="300"/>
      <c r="AO45" s="311">
        <f t="shared" si="6"/>
        <v>102800</v>
      </c>
      <c r="AP45" s="297"/>
      <c r="AQ45" s="262"/>
      <c r="AS45" s="328">
        <f>SUM(AS33:AS44)</f>
        <v>250280</v>
      </c>
      <c r="AT45" s="329"/>
      <c r="AU45" s="336">
        <f>SUM(AU33:AU44)</f>
        <v>0.99999999999999989</v>
      </c>
      <c r="AV45" s="329"/>
      <c r="AW45" s="331">
        <v>263551</v>
      </c>
      <c r="AX45" s="329"/>
      <c r="AY45" s="331">
        <f>SUM(AY33:AY44)</f>
        <v>184485.7</v>
      </c>
      <c r="AZ45" s="331">
        <f t="shared" ref="AZ45:BA45" si="7">SUM(AZ33:AZ44)</f>
        <v>0</v>
      </c>
      <c r="BA45" s="331">
        <f t="shared" si="7"/>
        <v>79065.3</v>
      </c>
    </row>
    <row r="46" spans="1:53" s="312" customFormat="1" ht="18.75" x14ac:dyDescent="0.3">
      <c r="A46" s="297"/>
      <c r="B46" s="298" t="s">
        <v>471</v>
      </c>
      <c r="C46" s="326" t="s">
        <v>112</v>
      </c>
      <c r="D46" s="310"/>
      <c r="E46" s="299">
        <v>27200</v>
      </c>
      <c r="F46" s="300"/>
      <c r="G46" s="313">
        <v>0</v>
      </c>
      <c r="H46" s="300"/>
      <c r="I46" s="313">
        <v>0</v>
      </c>
      <c r="J46" s="300"/>
      <c r="K46" s="313">
        <v>0</v>
      </c>
      <c r="L46" s="300"/>
      <c r="M46" s="313">
        <v>0</v>
      </c>
      <c r="N46" s="300"/>
      <c r="O46" s="313">
        <v>0</v>
      </c>
      <c r="P46" s="300"/>
      <c r="Q46" s="313">
        <v>0</v>
      </c>
      <c r="R46" s="300"/>
      <c r="S46" s="313">
        <v>0</v>
      </c>
      <c r="T46" s="300"/>
      <c r="U46" s="313">
        <v>0</v>
      </c>
      <c r="V46" s="300"/>
      <c r="W46" s="313">
        <v>0</v>
      </c>
      <c r="X46" s="300"/>
      <c r="Y46" s="299">
        <v>0</v>
      </c>
      <c r="Z46" s="300"/>
      <c r="AA46" s="313">
        <v>0</v>
      </c>
      <c r="AB46" s="300"/>
      <c r="AC46" s="313">
        <v>0</v>
      </c>
      <c r="AD46" s="300"/>
      <c r="AE46" s="313">
        <v>0</v>
      </c>
      <c r="AF46" s="300"/>
      <c r="AG46" s="313">
        <v>0</v>
      </c>
      <c r="AH46" s="300"/>
      <c r="AI46" s="299">
        <v>0</v>
      </c>
      <c r="AJ46" s="300"/>
      <c r="AK46" s="313">
        <v>0</v>
      </c>
      <c r="AL46" s="300"/>
      <c r="AM46" s="313">
        <v>0</v>
      </c>
      <c r="AN46" s="300"/>
      <c r="AO46" s="311">
        <f t="shared" si="6"/>
        <v>27200</v>
      </c>
      <c r="AP46" s="297"/>
      <c r="AQ46" s="262"/>
      <c r="AS46" s="328"/>
      <c r="AT46" s="329"/>
      <c r="AU46" s="329"/>
      <c r="AV46" s="329"/>
      <c r="AW46" s="331"/>
      <c r="AX46" s="329"/>
      <c r="AY46" s="329"/>
      <c r="AZ46" s="329"/>
      <c r="BA46" s="329"/>
    </row>
    <row r="47" spans="1:53" s="312" customFormat="1" ht="18.75" x14ac:dyDescent="0.3">
      <c r="A47" s="297"/>
      <c r="B47" s="298" t="s">
        <v>472</v>
      </c>
      <c r="C47" s="326" t="s">
        <v>113</v>
      </c>
      <c r="D47" s="310"/>
      <c r="E47" s="299">
        <v>0</v>
      </c>
      <c r="F47" s="300"/>
      <c r="G47" s="313">
        <v>0</v>
      </c>
      <c r="H47" s="300"/>
      <c r="I47" s="313">
        <v>0</v>
      </c>
      <c r="J47" s="300"/>
      <c r="K47" s="313">
        <v>0</v>
      </c>
      <c r="L47" s="300"/>
      <c r="M47" s="313">
        <v>0</v>
      </c>
      <c r="N47" s="300"/>
      <c r="O47" s="313">
        <v>0</v>
      </c>
      <c r="P47" s="300"/>
      <c r="Q47" s="313">
        <v>0</v>
      </c>
      <c r="R47" s="300"/>
      <c r="S47" s="313">
        <v>0</v>
      </c>
      <c r="T47" s="300"/>
      <c r="U47" s="313">
        <v>0</v>
      </c>
      <c r="V47" s="300"/>
      <c r="W47" s="313">
        <v>0</v>
      </c>
      <c r="X47" s="300"/>
      <c r="Y47" s="299">
        <v>0</v>
      </c>
      <c r="Z47" s="300"/>
      <c r="AA47" s="313">
        <v>0</v>
      </c>
      <c r="AB47" s="300"/>
      <c r="AC47" s="313">
        <v>0</v>
      </c>
      <c r="AD47" s="300"/>
      <c r="AE47" s="313">
        <v>0</v>
      </c>
      <c r="AF47" s="300"/>
      <c r="AG47" s="313">
        <v>0</v>
      </c>
      <c r="AH47" s="300"/>
      <c r="AI47" s="299">
        <v>0</v>
      </c>
      <c r="AJ47" s="300"/>
      <c r="AK47" s="313">
        <v>0</v>
      </c>
      <c r="AL47" s="300"/>
      <c r="AM47" s="313">
        <v>0</v>
      </c>
      <c r="AN47" s="300"/>
      <c r="AO47" s="311">
        <f t="shared" si="6"/>
        <v>0</v>
      </c>
      <c r="AP47" s="297"/>
      <c r="AQ47" s="262"/>
      <c r="AS47" s="328"/>
      <c r="AT47" s="329"/>
      <c r="AU47" s="329"/>
      <c r="AV47" s="329"/>
    </row>
    <row r="48" spans="1:53" s="312" customFormat="1" ht="19.5" thickBot="1" x14ac:dyDescent="0.35">
      <c r="A48" s="297"/>
      <c r="B48" s="298" t="s">
        <v>473</v>
      </c>
      <c r="C48" s="326" t="s">
        <v>114</v>
      </c>
      <c r="D48" s="310"/>
      <c r="E48" s="299">
        <v>1000</v>
      </c>
      <c r="F48" s="300"/>
      <c r="G48" s="313">
        <v>0</v>
      </c>
      <c r="H48" s="300"/>
      <c r="I48" s="313">
        <v>0</v>
      </c>
      <c r="J48" s="300"/>
      <c r="K48" s="313">
        <v>0</v>
      </c>
      <c r="L48" s="300"/>
      <c r="M48" s="313">
        <v>0</v>
      </c>
      <c r="N48" s="300"/>
      <c r="O48" s="313">
        <v>0</v>
      </c>
      <c r="P48" s="300"/>
      <c r="Q48" s="313">
        <v>0</v>
      </c>
      <c r="R48" s="300"/>
      <c r="S48" s="313">
        <v>0</v>
      </c>
      <c r="T48" s="300"/>
      <c r="U48" s="313">
        <v>0</v>
      </c>
      <c r="V48" s="300"/>
      <c r="W48" s="313">
        <v>0</v>
      </c>
      <c r="X48" s="300"/>
      <c r="Y48" s="299">
        <v>0</v>
      </c>
      <c r="Z48" s="300"/>
      <c r="AA48" s="313">
        <v>0</v>
      </c>
      <c r="AB48" s="300"/>
      <c r="AC48" s="313">
        <v>0</v>
      </c>
      <c r="AD48" s="300"/>
      <c r="AE48" s="313">
        <v>0</v>
      </c>
      <c r="AF48" s="300"/>
      <c r="AG48" s="313">
        <v>0</v>
      </c>
      <c r="AH48" s="300"/>
      <c r="AI48" s="299">
        <v>32510</v>
      </c>
      <c r="AJ48" s="300"/>
      <c r="AK48" s="313">
        <v>0</v>
      </c>
      <c r="AL48" s="300"/>
      <c r="AM48" s="313">
        <v>0</v>
      </c>
      <c r="AN48" s="300"/>
      <c r="AO48" s="311">
        <f t="shared" si="6"/>
        <v>33510</v>
      </c>
      <c r="AP48" s="297"/>
      <c r="AQ48" s="262"/>
    </row>
    <row r="49" spans="1:53" s="312" customFormat="1" ht="19.5" thickBot="1" x14ac:dyDescent="0.35">
      <c r="A49" s="297"/>
      <c r="B49" s="314" t="s">
        <v>476</v>
      </c>
      <c r="C49" s="315"/>
      <c r="D49" s="316"/>
      <c r="E49" s="317">
        <f>SUM(E43:E48)</f>
        <v>1418107</v>
      </c>
      <c r="F49" s="318"/>
      <c r="G49" s="317">
        <f>SUM(G43:G48)</f>
        <v>0</v>
      </c>
      <c r="H49" s="318"/>
      <c r="I49" s="317">
        <f>SUM(I43:I48)</f>
        <v>0</v>
      </c>
      <c r="J49" s="318"/>
      <c r="K49" s="317">
        <f>SUM(K43:K48)</f>
        <v>0</v>
      </c>
      <c r="L49" s="318"/>
      <c r="M49" s="317">
        <f>SUM(M43:M48)</f>
        <v>0</v>
      </c>
      <c r="N49" s="318"/>
      <c r="O49" s="317">
        <f>SUM(O43:O48)</f>
        <v>0</v>
      </c>
      <c r="P49" s="318"/>
      <c r="Q49" s="317">
        <f>SUM(Q43:Q48)</f>
        <v>0</v>
      </c>
      <c r="R49" s="318"/>
      <c r="S49" s="317">
        <f>SUM(S43:S48)</f>
        <v>0</v>
      </c>
      <c r="T49" s="318"/>
      <c r="U49" s="317">
        <f>SUM(U43:U48)</f>
        <v>0</v>
      </c>
      <c r="V49" s="318"/>
      <c r="W49" s="317">
        <f>SUM(W43:W48)</f>
        <v>0</v>
      </c>
      <c r="X49" s="318"/>
      <c r="Y49" s="317">
        <f>SUM(Y43:Y48)</f>
        <v>0</v>
      </c>
      <c r="Z49" s="318"/>
      <c r="AA49" s="317">
        <f>SUM(AA43:AA48)</f>
        <v>0</v>
      </c>
      <c r="AB49" s="318"/>
      <c r="AC49" s="317">
        <f>SUM(AC43:AC48)</f>
        <v>0</v>
      </c>
      <c r="AD49" s="318"/>
      <c r="AE49" s="317">
        <f>SUM(AE43:AE48)</f>
        <v>0</v>
      </c>
      <c r="AF49" s="318"/>
      <c r="AG49" s="317">
        <f>SUM(AG43:AG48)</f>
        <v>0</v>
      </c>
      <c r="AH49" s="318"/>
      <c r="AI49" s="317">
        <f>SUM(AI43:AI48)</f>
        <v>32510</v>
      </c>
      <c r="AJ49" s="318"/>
      <c r="AK49" s="317">
        <f>SUM(AK43:AK48)</f>
        <v>0</v>
      </c>
      <c r="AL49" s="318"/>
      <c r="AM49" s="317">
        <f>SUM(AM43:AM48)</f>
        <v>0</v>
      </c>
      <c r="AN49" s="318"/>
      <c r="AO49" s="317">
        <f>SUM(AO43:AO48)</f>
        <v>1450617</v>
      </c>
      <c r="AP49" s="297"/>
      <c r="AQ49" s="262"/>
    </row>
    <row r="50" spans="1:53" s="312" customFormat="1" ht="18.75" x14ac:dyDescent="0.3">
      <c r="A50" s="297"/>
      <c r="B50" s="298"/>
      <c r="C50" s="309"/>
      <c r="D50" s="310"/>
      <c r="E50" s="311"/>
      <c r="F50" s="319"/>
      <c r="G50" s="311"/>
      <c r="H50" s="319"/>
      <c r="I50" s="311"/>
      <c r="J50" s="319"/>
      <c r="K50" s="311"/>
      <c r="L50" s="319"/>
      <c r="M50" s="311"/>
      <c r="N50" s="319"/>
      <c r="O50" s="311"/>
      <c r="P50" s="319"/>
      <c r="Q50" s="311"/>
      <c r="R50" s="319"/>
      <c r="S50" s="311"/>
      <c r="T50" s="319"/>
      <c r="U50" s="311"/>
      <c r="V50" s="319"/>
      <c r="W50" s="311"/>
      <c r="X50" s="319"/>
      <c r="Y50" s="311"/>
      <c r="Z50" s="319"/>
      <c r="AA50" s="311"/>
      <c r="AB50" s="319"/>
      <c r="AC50" s="311"/>
      <c r="AD50" s="319"/>
      <c r="AE50" s="311"/>
      <c r="AF50" s="319"/>
      <c r="AG50" s="311"/>
      <c r="AH50" s="319"/>
      <c r="AI50" s="311"/>
      <c r="AJ50" s="319"/>
      <c r="AK50" s="311"/>
      <c r="AL50" s="319"/>
      <c r="AM50" s="311"/>
      <c r="AN50" s="319"/>
      <c r="AO50" s="311"/>
      <c r="AP50" s="297"/>
      <c r="AQ50" s="262"/>
    </row>
    <row r="51" spans="1:53" s="312" customFormat="1" ht="18.75" x14ac:dyDescent="0.3">
      <c r="A51" s="297"/>
      <c r="B51" s="298" t="s">
        <v>117</v>
      </c>
      <c r="C51" s="309"/>
      <c r="D51" s="310"/>
      <c r="E51" s="311"/>
      <c r="F51" s="319"/>
      <c r="G51" s="311"/>
      <c r="H51" s="319"/>
      <c r="I51" s="311"/>
      <c r="J51" s="319"/>
      <c r="K51" s="311"/>
      <c r="L51" s="319"/>
      <c r="M51" s="311"/>
      <c r="N51" s="319"/>
      <c r="O51" s="311"/>
      <c r="P51" s="319"/>
      <c r="Q51" s="311"/>
      <c r="R51" s="319"/>
      <c r="S51" s="311"/>
      <c r="T51" s="319"/>
      <c r="U51" s="311"/>
      <c r="V51" s="319"/>
      <c r="W51" s="311"/>
      <c r="X51" s="319"/>
      <c r="Y51" s="311"/>
      <c r="Z51" s="319"/>
      <c r="AA51" s="311"/>
      <c r="AB51" s="319"/>
      <c r="AC51" s="311"/>
      <c r="AD51" s="319"/>
      <c r="AE51" s="311"/>
      <c r="AF51" s="319"/>
      <c r="AG51" s="311"/>
      <c r="AH51" s="319"/>
      <c r="AI51" s="311"/>
      <c r="AJ51" s="319"/>
      <c r="AK51" s="311"/>
      <c r="AL51" s="319"/>
      <c r="AM51" s="311"/>
      <c r="AN51" s="319"/>
      <c r="AO51" s="311"/>
      <c r="AP51" s="297"/>
      <c r="AQ51" s="262"/>
      <c r="AS51" s="328">
        <v>17500</v>
      </c>
      <c r="AT51" s="329"/>
      <c r="AU51" s="330">
        <f t="shared" ref="AU51" si="8">AS51/$AS$45</f>
        <v>6.9921687709765062E-2</v>
      </c>
      <c r="AV51" s="329"/>
      <c r="AW51" s="331">
        <f>AU51*$AW$45</f>
        <v>18427.930717596293</v>
      </c>
      <c r="AX51" s="329"/>
      <c r="AY51" s="332">
        <f t="shared" ref="AY51" si="9">AW51*0.7</f>
        <v>12899.551502317405</v>
      </c>
      <c r="AZ51" s="332">
        <f t="shared" ref="AZ51" si="10">AV51*0.7</f>
        <v>0</v>
      </c>
      <c r="BA51" s="332">
        <f t="shared" ref="BA51" si="11">AW51-AY51</f>
        <v>5528.3792152788883</v>
      </c>
    </row>
    <row r="52" spans="1:53" s="312" customFormat="1" ht="18.75" x14ac:dyDescent="0.3">
      <c r="A52" s="297"/>
      <c r="B52" s="298" t="s">
        <v>467</v>
      </c>
      <c r="C52" s="326" t="s">
        <v>108</v>
      </c>
      <c r="D52" s="310"/>
      <c r="E52" s="299">
        <v>366843</v>
      </c>
      <c r="F52" s="300"/>
      <c r="G52" s="313">
        <v>0</v>
      </c>
      <c r="H52" s="300"/>
      <c r="I52" s="313">
        <v>0</v>
      </c>
      <c r="J52" s="300"/>
      <c r="K52" s="313">
        <v>0</v>
      </c>
      <c r="L52" s="300"/>
      <c r="M52" s="313">
        <v>0</v>
      </c>
      <c r="N52" s="300"/>
      <c r="O52" s="299">
        <v>0</v>
      </c>
      <c r="P52" s="300"/>
      <c r="Q52" s="313">
        <v>0</v>
      </c>
      <c r="R52" s="300"/>
      <c r="S52" s="313">
        <v>0</v>
      </c>
      <c r="T52" s="300"/>
      <c r="U52" s="313">
        <v>0</v>
      </c>
      <c r="V52" s="300"/>
      <c r="W52" s="313">
        <v>0</v>
      </c>
      <c r="X52" s="300"/>
      <c r="Y52" s="313">
        <v>0</v>
      </c>
      <c r="Z52" s="300"/>
      <c r="AA52" s="313">
        <v>0</v>
      </c>
      <c r="AB52" s="300"/>
      <c r="AC52" s="313">
        <v>0</v>
      </c>
      <c r="AD52" s="300"/>
      <c r="AE52" s="313">
        <v>0</v>
      </c>
      <c r="AF52" s="300"/>
      <c r="AG52" s="313">
        <v>0</v>
      </c>
      <c r="AH52" s="300"/>
      <c r="AI52" s="313">
        <v>0</v>
      </c>
      <c r="AJ52" s="300"/>
      <c r="AK52" s="313">
        <v>0</v>
      </c>
      <c r="AL52" s="300"/>
      <c r="AM52" s="313">
        <v>0</v>
      </c>
      <c r="AN52" s="300"/>
      <c r="AO52" s="311">
        <f t="shared" ref="AO52:AO57" si="12">E52+K52+G52+I52+M52+O52+Q52+S52+U52+W52+Y52+AA52+AC52+AE52+AG52+AI52+AK52+AM52</f>
        <v>366843</v>
      </c>
      <c r="AP52" s="297"/>
      <c r="AQ52" s="262"/>
    </row>
    <row r="53" spans="1:53" s="312" customFormat="1" ht="18.75" x14ac:dyDescent="0.3">
      <c r="A53" s="297"/>
      <c r="B53" s="298" t="s">
        <v>469</v>
      </c>
      <c r="C53" s="326" t="s">
        <v>109</v>
      </c>
      <c r="D53" s="310"/>
      <c r="E53" s="299">
        <v>142496</v>
      </c>
      <c r="F53" s="300"/>
      <c r="G53" s="313">
        <v>0</v>
      </c>
      <c r="H53" s="300"/>
      <c r="I53" s="313">
        <v>0</v>
      </c>
      <c r="J53" s="300"/>
      <c r="K53" s="313">
        <v>0</v>
      </c>
      <c r="L53" s="300"/>
      <c r="M53" s="313">
        <v>0</v>
      </c>
      <c r="N53" s="300"/>
      <c r="O53" s="299">
        <v>0</v>
      </c>
      <c r="P53" s="300"/>
      <c r="Q53" s="313">
        <v>0</v>
      </c>
      <c r="R53" s="300"/>
      <c r="S53" s="313">
        <v>0</v>
      </c>
      <c r="T53" s="300"/>
      <c r="U53" s="313">
        <v>0</v>
      </c>
      <c r="V53" s="300"/>
      <c r="W53" s="313">
        <v>0</v>
      </c>
      <c r="X53" s="300"/>
      <c r="Y53" s="313">
        <v>0</v>
      </c>
      <c r="Z53" s="300"/>
      <c r="AA53" s="313">
        <v>0</v>
      </c>
      <c r="AB53" s="300"/>
      <c r="AC53" s="313">
        <v>0</v>
      </c>
      <c r="AD53" s="300"/>
      <c r="AE53" s="313">
        <v>0</v>
      </c>
      <c r="AF53" s="300"/>
      <c r="AG53" s="313">
        <v>0</v>
      </c>
      <c r="AH53" s="300"/>
      <c r="AI53" s="313">
        <v>0</v>
      </c>
      <c r="AJ53" s="300"/>
      <c r="AK53" s="313">
        <v>0</v>
      </c>
      <c r="AL53" s="300"/>
      <c r="AM53" s="313">
        <v>0</v>
      </c>
      <c r="AN53" s="300"/>
      <c r="AO53" s="311">
        <f t="shared" si="12"/>
        <v>142496</v>
      </c>
      <c r="AP53" s="297"/>
      <c r="AQ53" s="262"/>
    </row>
    <row r="54" spans="1:53" s="312" customFormat="1" ht="37.5" x14ac:dyDescent="0.3">
      <c r="A54" s="297"/>
      <c r="B54" s="298" t="s">
        <v>470</v>
      </c>
      <c r="C54" s="326" t="s">
        <v>111</v>
      </c>
      <c r="D54" s="310"/>
      <c r="E54" s="299">
        <v>25375</v>
      </c>
      <c r="F54" s="300"/>
      <c r="G54" s="313">
        <v>0</v>
      </c>
      <c r="H54" s="300"/>
      <c r="I54" s="313">
        <v>0</v>
      </c>
      <c r="J54" s="300"/>
      <c r="K54" s="313">
        <v>0</v>
      </c>
      <c r="L54" s="300"/>
      <c r="M54" s="313">
        <v>0</v>
      </c>
      <c r="N54" s="300"/>
      <c r="O54" s="299">
        <v>0</v>
      </c>
      <c r="P54" s="300"/>
      <c r="Q54" s="313">
        <v>0</v>
      </c>
      <c r="R54" s="300"/>
      <c r="S54" s="313">
        <v>0</v>
      </c>
      <c r="T54" s="300"/>
      <c r="U54" s="313">
        <v>0</v>
      </c>
      <c r="V54" s="300"/>
      <c r="W54" s="313">
        <v>0</v>
      </c>
      <c r="X54" s="300"/>
      <c r="Y54" s="313">
        <v>0</v>
      </c>
      <c r="Z54" s="300"/>
      <c r="AA54" s="313">
        <v>0</v>
      </c>
      <c r="AB54" s="300"/>
      <c r="AC54" s="313">
        <v>0</v>
      </c>
      <c r="AD54" s="300"/>
      <c r="AE54" s="313">
        <v>0</v>
      </c>
      <c r="AF54" s="300"/>
      <c r="AG54" s="313">
        <v>0</v>
      </c>
      <c r="AH54" s="300"/>
      <c r="AI54" s="313">
        <v>0</v>
      </c>
      <c r="AJ54" s="300"/>
      <c r="AK54" s="313">
        <v>0</v>
      </c>
      <c r="AL54" s="300"/>
      <c r="AM54" s="313">
        <v>0</v>
      </c>
      <c r="AN54" s="300"/>
      <c r="AO54" s="311">
        <f t="shared" si="12"/>
        <v>25375</v>
      </c>
      <c r="AP54" s="297"/>
      <c r="AQ54" s="262"/>
    </row>
    <row r="55" spans="1:53" s="312" customFormat="1" ht="18.75" x14ac:dyDescent="0.3">
      <c r="A55" s="297"/>
      <c r="B55" s="298" t="s">
        <v>471</v>
      </c>
      <c r="C55" s="326" t="s">
        <v>112</v>
      </c>
      <c r="D55" s="310"/>
      <c r="E55" s="299">
        <v>147250</v>
      </c>
      <c r="F55" s="300"/>
      <c r="G55" s="313">
        <v>0</v>
      </c>
      <c r="H55" s="300"/>
      <c r="I55" s="313">
        <v>0</v>
      </c>
      <c r="J55" s="300"/>
      <c r="K55" s="313">
        <v>0</v>
      </c>
      <c r="L55" s="300"/>
      <c r="M55" s="313">
        <v>0</v>
      </c>
      <c r="N55" s="300"/>
      <c r="O55" s="299">
        <v>0</v>
      </c>
      <c r="P55" s="300"/>
      <c r="Q55" s="313">
        <v>0</v>
      </c>
      <c r="R55" s="300"/>
      <c r="S55" s="313">
        <v>0</v>
      </c>
      <c r="T55" s="300"/>
      <c r="U55" s="313">
        <v>0</v>
      </c>
      <c r="V55" s="300"/>
      <c r="W55" s="313">
        <v>0</v>
      </c>
      <c r="X55" s="300"/>
      <c r="Y55" s="313">
        <v>0</v>
      </c>
      <c r="Z55" s="300"/>
      <c r="AA55" s="313">
        <v>0</v>
      </c>
      <c r="AB55" s="300"/>
      <c r="AC55" s="313">
        <v>0</v>
      </c>
      <c r="AD55" s="300"/>
      <c r="AE55" s="313">
        <v>0</v>
      </c>
      <c r="AF55" s="300"/>
      <c r="AG55" s="313">
        <v>0</v>
      </c>
      <c r="AH55" s="300"/>
      <c r="AI55" s="313">
        <v>0</v>
      </c>
      <c r="AJ55" s="300"/>
      <c r="AK55" s="313">
        <v>0</v>
      </c>
      <c r="AL55" s="300"/>
      <c r="AM55" s="313">
        <v>0</v>
      </c>
      <c r="AN55" s="300"/>
      <c r="AO55" s="311">
        <f t="shared" si="12"/>
        <v>147250</v>
      </c>
      <c r="AP55" s="297"/>
      <c r="AQ55" s="262"/>
    </row>
    <row r="56" spans="1:53" s="312" customFormat="1" ht="18.75" x14ac:dyDescent="0.3">
      <c r="A56" s="297"/>
      <c r="B56" s="298" t="s">
        <v>472</v>
      </c>
      <c r="C56" s="326" t="s">
        <v>113</v>
      </c>
      <c r="D56" s="310"/>
      <c r="E56" s="299">
        <v>0</v>
      </c>
      <c r="F56" s="300"/>
      <c r="G56" s="313">
        <v>0</v>
      </c>
      <c r="H56" s="300"/>
      <c r="I56" s="313">
        <v>0</v>
      </c>
      <c r="J56" s="300"/>
      <c r="K56" s="313">
        <v>0</v>
      </c>
      <c r="L56" s="300"/>
      <c r="M56" s="313">
        <v>0</v>
      </c>
      <c r="N56" s="300"/>
      <c r="O56" s="299">
        <v>0</v>
      </c>
      <c r="P56" s="300"/>
      <c r="Q56" s="313">
        <v>0</v>
      </c>
      <c r="R56" s="300"/>
      <c r="S56" s="313">
        <v>0</v>
      </c>
      <c r="T56" s="300"/>
      <c r="U56" s="313">
        <v>0</v>
      </c>
      <c r="V56" s="300"/>
      <c r="W56" s="313">
        <v>0</v>
      </c>
      <c r="X56" s="300"/>
      <c r="Y56" s="313">
        <v>0</v>
      </c>
      <c r="Z56" s="300"/>
      <c r="AA56" s="313">
        <v>0</v>
      </c>
      <c r="AB56" s="300"/>
      <c r="AC56" s="313">
        <v>0</v>
      </c>
      <c r="AD56" s="300"/>
      <c r="AE56" s="313">
        <v>0</v>
      </c>
      <c r="AF56" s="300"/>
      <c r="AG56" s="313">
        <v>0</v>
      </c>
      <c r="AH56" s="300"/>
      <c r="AI56" s="313">
        <v>0</v>
      </c>
      <c r="AJ56" s="300"/>
      <c r="AK56" s="313">
        <v>0</v>
      </c>
      <c r="AL56" s="300"/>
      <c r="AM56" s="313">
        <v>0</v>
      </c>
      <c r="AN56" s="300"/>
      <c r="AO56" s="311">
        <f t="shared" si="12"/>
        <v>0</v>
      </c>
      <c r="AP56" s="297"/>
      <c r="AQ56" s="262"/>
    </row>
    <row r="57" spans="1:53" s="312" customFormat="1" ht="19.5" thickBot="1" x14ac:dyDescent="0.35">
      <c r="A57" s="297"/>
      <c r="B57" s="298" t="s">
        <v>473</v>
      </c>
      <c r="C57" s="326" t="s">
        <v>114</v>
      </c>
      <c r="D57" s="310"/>
      <c r="E57" s="299">
        <v>4650</v>
      </c>
      <c r="F57" s="300"/>
      <c r="G57" s="313">
        <v>0</v>
      </c>
      <c r="H57" s="300"/>
      <c r="I57" s="313">
        <v>0</v>
      </c>
      <c r="J57" s="300"/>
      <c r="K57" s="313">
        <v>0</v>
      </c>
      <c r="L57" s="300"/>
      <c r="M57" s="313">
        <v>0</v>
      </c>
      <c r="N57" s="300"/>
      <c r="O57" s="299">
        <v>0</v>
      </c>
      <c r="P57" s="300"/>
      <c r="Q57" s="313">
        <v>0</v>
      </c>
      <c r="R57" s="300"/>
      <c r="S57" s="313">
        <v>0</v>
      </c>
      <c r="T57" s="300"/>
      <c r="U57" s="313">
        <v>0</v>
      </c>
      <c r="V57" s="300"/>
      <c r="W57" s="313">
        <v>0</v>
      </c>
      <c r="X57" s="300"/>
      <c r="Y57" s="313">
        <v>0</v>
      </c>
      <c r="Z57" s="300"/>
      <c r="AA57" s="313">
        <v>0</v>
      </c>
      <c r="AB57" s="300"/>
      <c r="AC57" s="313">
        <v>0</v>
      </c>
      <c r="AD57" s="300"/>
      <c r="AE57" s="313">
        <v>0</v>
      </c>
      <c r="AF57" s="300"/>
      <c r="AG57" s="313">
        <v>0</v>
      </c>
      <c r="AH57" s="300"/>
      <c r="AI57" s="313">
        <v>0</v>
      </c>
      <c r="AJ57" s="300"/>
      <c r="AK57" s="313">
        <v>0</v>
      </c>
      <c r="AL57" s="300"/>
      <c r="AM57" s="313">
        <v>0</v>
      </c>
      <c r="AN57" s="300"/>
      <c r="AO57" s="311">
        <f t="shared" si="12"/>
        <v>4650</v>
      </c>
      <c r="AP57" s="297"/>
      <c r="AQ57" s="262"/>
    </row>
    <row r="58" spans="1:53" s="312" customFormat="1" ht="19.5" thickBot="1" x14ac:dyDescent="0.35">
      <c r="A58" s="297"/>
      <c r="B58" s="314" t="s">
        <v>477</v>
      </c>
      <c r="C58" s="315"/>
      <c r="D58" s="316"/>
      <c r="E58" s="317">
        <f>SUM(E52:E57)</f>
        <v>686614</v>
      </c>
      <c r="F58" s="318"/>
      <c r="G58" s="317">
        <f>SUM(G52:G57)</f>
        <v>0</v>
      </c>
      <c r="H58" s="318"/>
      <c r="I58" s="317">
        <f>SUM(I52:I57)</f>
        <v>0</v>
      </c>
      <c r="J58" s="318"/>
      <c r="K58" s="317">
        <f>SUM(K52:K57)</f>
        <v>0</v>
      </c>
      <c r="L58" s="318"/>
      <c r="M58" s="317">
        <f>SUM(M52:M57)</f>
        <v>0</v>
      </c>
      <c r="N58" s="318"/>
      <c r="O58" s="317">
        <f>SUM(O52:O57)</f>
        <v>0</v>
      </c>
      <c r="P58" s="318"/>
      <c r="Q58" s="317">
        <f>SUM(Q52:Q57)</f>
        <v>0</v>
      </c>
      <c r="R58" s="318"/>
      <c r="S58" s="317">
        <f>SUM(S52:S57)</f>
        <v>0</v>
      </c>
      <c r="T58" s="318"/>
      <c r="U58" s="317">
        <f>SUM(U52:U57)</f>
        <v>0</v>
      </c>
      <c r="V58" s="318"/>
      <c r="W58" s="317">
        <f>SUM(W52:W57)</f>
        <v>0</v>
      </c>
      <c r="X58" s="318"/>
      <c r="Y58" s="317">
        <f>SUM(Y52:Y57)</f>
        <v>0</v>
      </c>
      <c r="Z58" s="318"/>
      <c r="AA58" s="317">
        <f>SUM(AA52:AA57)</f>
        <v>0</v>
      </c>
      <c r="AB58" s="318"/>
      <c r="AC58" s="317">
        <f>SUM(AC52:AC57)</f>
        <v>0</v>
      </c>
      <c r="AD58" s="318"/>
      <c r="AE58" s="317">
        <f>SUM(AE52:AE57)</f>
        <v>0</v>
      </c>
      <c r="AF58" s="318"/>
      <c r="AG58" s="317">
        <f>SUM(AG52:AG57)</f>
        <v>0</v>
      </c>
      <c r="AH58" s="318"/>
      <c r="AI58" s="317">
        <f>SUM(AI52:AI57)</f>
        <v>0</v>
      </c>
      <c r="AJ58" s="318"/>
      <c r="AK58" s="317">
        <f>SUM(AK52:AK57)</f>
        <v>0</v>
      </c>
      <c r="AL58" s="318"/>
      <c r="AM58" s="317">
        <f>SUM(AM52:AM57)</f>
        <v>0</v>
      </c>
      <c r="AN58" s="318"/>
      <c r="AO58" s="317">
        <f>SUM(AO52:AO57)</f>
        <v>686614</v>
      </c>
      <c r="AP58" s="297"/>
      <c r="AQ58" s="262"/>
    </row>
    <row r="59" spans="1:53" s="312" customFormat="1" ht="18.75" x14ac:dyDescent="0.3">
      <c r="A59" s="297"/>
      <c r="B59" s="298"/>
      <c r="C59" s="309"/>
      <c r="D59" s="310"/>
      <c r="E59" s="311"/>
      <c r="F59" s="319"/>
      <c r="G59" s="311"/>
      <c r="H59" s="319"/>
      <c r="I59" s="311"/>
      <c r="J59" s="319"/>
      <c r="K59" s="311"/>
      <c r="L59" s="319"/>
      <c r="M59" s="311"/>
      <c r="N59" s="319"/>
      <c r="O59" s="311"/>
      <c r="P59" s="319"/>
      <c r="Q59" s="311"/>
      <c r="R59" s="319"/>
      <c r="S59" s="311"/>
      <c r="T59" s="319"/>
      <c r="U59" s="311"/>
      <c r="V59" s="319"/>
      <c r="W59" s="311"/>
      <c r="X59" s="319"/>
      <c r="Y59" s="311"/>
      <c r="Z59" s="319"/>
      <c r="AA59" s="311"/>
      <c r="AB59" s="319"/>
      <c r="AC59" s="311"/>
      <c r="AD59" s="319"/>
      <c r="AE59" s="311"/>
      <c r="AF59" s="319"/>
      <c r="AG59" s="311"/>
      <c r="AH59" s="319"/>
      <c r="AI59" s="311"/>
      <c r="AJ59" s="319"/>
      <c r="AK59" s="311"/>
      <c r="AL59" s="319"/>
      <c r="AM59" s="311"/>
      <c r="AN59" s="319"/>
      <c r="AO59" s="311"/>
      <c r="AP59" s="297"/>
      <c r="AQ59" s="262"/>
    </row>
    <row r="60" spans="1:53" s="312" customFormat="1" ht="37.5" x14ac:dyDescent="0.3">
      <c r="A60" s="297"/>
      <c r="B60" s="298" t="s">
        <v>478</v>
      </c>
      <c r="C60" s="309"/>
      <c r="D60" s="310"/>
      <c r="E60" s="311"/>
      <c r="F60" s="319"/>
      <c r="G60" s="311"/>
      <c r="H60" s="319"/>
      <c r="I60" s="311"/>
      <c r="J60" s="319"/>
      <c r="K60" s="311"/>
      <c r="L60" s="319"/>
      <c r="M60" s="311"/>
      <c r="N60" s="319"/>
      <c r="O60" s="311"/>
      <c r="P60" s="319"/>
      <c r="Q60" s="311"/>
      <c r="R60" s="319"/>
      <c r="S60" s="311"/>
      <c r="T60" s="319"/>
      <c r="U60" s="311"/>
      <c r="V60" s="319"/>
      <c r="W60" s="311"/>
      <c r="X60" s="319"/>
      <c r="Y60" s="311"/>
      <c r="Z60" s="319"/>
      <c r="AA60" s="311"/>
      <c r="AB60" s="319"/>
      <c r="AC60" s="311"/>
      <c r="AD60" s="319"/>
      <c r="AE60" s="311"/>
      <c r="AF60" s="319"/>
      <c r="AG60" s="311"/>
      <c r="AH60" s="319"/>
      <c r="AI60" s="311"/>
      <c r="AJ60" s="319"/>
      <c r="AK60" s="311"/>
      <c r="AL60" s="319"/>
      <c r="AM60" s="311"/>
      <c r="AN60" s="319"/>
      <c r="AO60" s="311"/>
      <c r="AP60" s="297"/>
      <c r="AQ60" s="262"/>
    </row>
    <row r="61" spans="1:53" s="312" customFormat="1" ht="18.75" x14ac:dyDescent="0.3">
      <c r="A61" s="297"/>
      <c r="B61" s="298" t="s">
        <v>467</v>
      </c>
      <c r="C61" s="326" t="s">
        <v>108</v>
      </c>
      <c r="D61" s="310"/>
      <c r="E61" s="299">
        <v>276674</v>
      </c>
      <c r="F61" s="300"/>
      <c r="G61" s="299">
        <v>0</v>
      </c>
      <c r="H61" s="300"/>
      <c r="I61" s="299">
        <v>0</v>
      </c>
      <c r="J61" s="300"/>
      <c r="K61" s="313">
        <v>0</v>
      </c>
      <c r="L61" s="300"/>
      <c r="M61" s="299">
        <v>0</v>
      </c>
      <c r="N61" s="300"/>
      <c r="O61" s="313">
        <v>0</v>
      </c>
      <c r="P61" s="300"/>
      <c r="Q61" s="299">
        <v>0</v>
      </c>
      <c r="R61" s="300"/>
      <c r="S61" s="299">
        <v>0</v>
      </c>
      <c r="T61" s="300"/>
      <c r="U61" s="299">
        <v>0</v>
      </c>
      <c r="V61" s="300"/>
      <c r="W61" s="313">
        <v>0</v>
      </c>
      <c r="X61" s="300"/>
      <c r="Y61" s="313">
        <v>0</v>
      </c>
      <c r="Z61" s="300"/>
      <c r="AA61" s="299">
        <v>0</v>
      </c>
      <c r="AB61" s="300"/>
      <c r="AC61" s="299">
        <v>0</v>
      </c>
      <c r="AD61" s="300"/>
      <c r="AE61" s="299">
        <v>0</v>
      </c>
      <c r="AF61" s="300"/>
      <c r="AG61" s="299">
        <v>0</v>
      </c>
      <c r="AH61" s="300"/>
      <c r="AI61" s="299">
        <v>0</v>
      </c>
      <c r="AJ61" s="300"/>
      <c r="AK61" s="299">
        <v>0</v>
      </c>
      <c r="AL61" s="300"/>
      <c r="AM61" s="299">
        <v>0</v>
      </c>
      <c r="AN61" s="300"/>
      <c r="AO61" s="311">
        <f t="shared" ref="AO61:AO66" si="13">E61+K61+G61+I61+M61+O61+Q61+S61+U61+W61+Y61+AA61+AC61+AE61+AG61+AI61+AK61+AM61</f>
        <v>276674</v>
      </c>
      <c r="AP61" s="297"/>
      <c r="AQ61" s="262"/>
    </row>
    <row r="62" spans="1:53" s="312" customFormat="1" ht="18.75" x14ac:dyDescent="0.3">
      <c r="A62" s="297"/>
      <c r="B62" s="298" t="s">
        <v>469</v>
      </c>
      <c r="C62" s="326" t="s">
        <v>109</v>
      </c>
      <c r="D62" s="310"/>
      <c r="E62" s="299">
        <v>83669</v>
      </c>
      <c r="F62" s="300"/>
      <c r="G62" s="299">
        <v>0</v>
      </c>
      <c r="H62" s="300"/>
      <c r="I62" s="299">
        <v>0</v>
      </c>
      <c r="J62" s="300"/>
      <c r="K62" s="313">
        <v>0</v>
      </c>
      <c r="L62" s="300"/>
      <c r="M62" s="299">
        <v>0</v>
      </c>
      <c r="N62" s="300"/>
      <c r="O62" s="313">
        <v>0</v>
      </c>
      <c r="P62" s="300"/>
      <c r="Q62" s="299">
        <v>0</v>
      </c>
      <c r="R62" s="300"/>
      <c r="S62" s="299">
        <v>0</v>
      </c>
      <c r="T62" s="300"/>
      <c r="U62" s="299">
        <v>0</v>
      </c>
      <c r="V62" s="300"/>
      <c r="W62" s="313">
        <v>0</v>
      </c>
      <c r="X62" s="300"/>
      <c r="Y62" s="313">
        <v>0</v>
      </c>
      <c r="Z62" s="300"/>
      <c r="AA62" s="299">
        <v>0</v>
      </c>
      <c r="AB62" s="300"/>
      <c r="AC62" s="299">
        <v>0</v>
      </c>
      <c r="AD62" s="300"/>
      <c r="AE62" s="299">
        <v>0</v>
      </c>
      <c r="AF62" s="300"/>
      <c r="AG62" s="299">
        <v>0</v>
      </c>
      <c r="AH62" s="300"/>
      <c r="AI62" s="299">
        <v>0</v>
      </c>
      <c r="AJ62" s="300"/>
      <c r="AK62" s="299">
        <v>0</v>
      </c>
      <c r="AL62" s="300"/>
      <c r="AM62" s="299">
        <v>0</v>
      </c>
      <c r="AN62" s="300"/>
      <c r="AO62" s="311">
        <f t="shared" si="13"/>
        <v>83669</v>
      </c>
      <c r="AP62" s="297"/>
      <c r="AQ62" s="262"/>
    </row>
    <row r="63" spans="1:53" s="312" customFormat="1" ht="37.5" x14ac:dyDescent="0.3">
      <c r="A63" s="297"/>
      <c r="B63" s="298" t="s">
        <v>470</v>
      </c>
      <c r="C63" s="326" t="s">
        <v>111</v>
      </c>
      <c r="D63" s="310"/>
      <c r="E63" s="299">
        <v>89400</v>
      </c>
      <c r="F63" s="300"/>
      <c r="G63" s="299">
        <v>0</v>
      </c>
      <c r="H63" s="300"/>
      <c r="I63" s="299">
        <v>0</v>
      </c>
      <c r="J63" s="300"/>
      <c r="K63" s="313">
        <v>0</v>
      </c>
      <c r="L63" s="300"/>
      <c r="M63" s="299">
        <v>0</v>
      </c>
      <c r="N63" s="300"/>
      <c r="O63" s="313">
        <v>0</v>
      </c>
      <c r="P63" s="300"/>
      <c r="Q63" s="299">
        <v>0</v>
      </c>
      <c r="R63" s="300"/>
      <c r="S63" s="299">
        <v>0</v>
      </c>
      <c r="T63" s="300"/>
      <c r="U63" s="299">
        <v>0</v>
      </c>
      <c r="V63" s="300"/>
      <c r="W63" s="313">
        <v>0</v>
      </c>
      <c r="X63" s="300"/>
      <c r="Y63" s="313">
        <v>0</v>
      </c>
      <c r="Z63" s="300"/>
      <c r="AA63" s="299">
        <v>0</v>
      </c>
      <c r="AB63" s="300"/>
      <c r="AC63" s="299">
        <v>0</v>
      </c>
      <c r="AD63" s="300"/>
      <c r="AE63" s="299">
        <v>0</v>
      </c>
      <c r="AF63" s="300"/>
      <c r="AG63" s="299">
        <v>0</v>
      </c>
      <c r="AH63" s="300"/>
      <c r="AI63" s="299">
        <v>0</v>
      </c>
      <c r="AJ63" s="300"/>
      <c r="AK63" s="299">
        <v>0</v>
      </c>
      <c r="AL63" s="300"/>
      <c r="AM63" s="299">
        <v>0</v>
      </c>
      <c r="AN63" s="300"/>
      <c r="AO63" s="311">
        <f t="shared" si="13"/>
        <v>89400</v>
      </c>
      <c r="AP63" s="297"/>
      <c r="AQ63" s="262"/>
    </row>
    <row r="64" spans="1:53" s="312" customFormat="1" ht="18.75" x14ac:dyDescent="0.3">
      <c r="A64" s="297"/>
      <c r="B64" s="298" t="s">
        <v>471</v>
      </c>
      <c r="C64" s="326" t="s">
        <v>112</v>
      </c>
      <c r="D64" s="310"/>
      <c r="E64" s="299">
        <v>15500</v>
      </c>
      <c r="F64" s="300"/>
      <c r="G64" s="299">
        <v>0</v>
      </c>
      <c r="H64" s="300"/>
      <c r="I64" s="299">
        <v>0</v>
      </c>
      <c r="J64" s="300"/>
      <c r="K64" s="313">
        <v>0</v>
      </c>
      <c r="L64" s="300"/>
      <c r="M64" s="299">
        <v>0</v>
      </c>
      <c r="N64" s="300"/>
      <c r="O64" s="313">
        <v>0</v>
      </c>
      <c r="P64" s="300"/>
      <c r="Q64" s="299">
        <v>0</v>
      </c>
      <c r="R64" s="300"/>
      <c r="S64" s="299">
        <v>0</v>
      </c>
      <c r="T64" s="300"/>
      <c r="U64" s="299">
        <v>0</v>
      </c>
      <c r="V64" s="300"/>
      <c r="W64" s="313">
        <v>0</v>
      </c>
      <c r="X64" s="300"/>
      <c r="Y64" s="313">
        <v>0</v>
      </c>
      <c r="Z64" s="300"/>
      <c r="AA64" s="299">
        <v>0</v>
      </c>
      <c r="AB64" s="300"/>
      <c r="AC64" s="299">
        <v>0</v>
      </c>
      <c r="AD64" s="300"/>
      <c r="AE64" s="299">
        <v>0</v>
      </c>
      <c r="AF64" s="300"/>
      <c r="AG64" s="299">
        <v>0</v>
      </c>
      <c r="AH64" s="300"/>
      <c r="AI64" s="299">
        <v>0</v>
      </c>
      <c r="AJ64" s="300"/>
      <c r="AK64" s="299">
        <v>0</v>
      </c>
      <c r="AL64" s="300"/>
      <c r="AM64" s="299">
        <v>0</v>
      </c>
      <c r="AN64" s="300"/>
      <c r="AO64" s="311">
        <f t="shared" si="13"/>
        <v>15500</v>
      </c>
      <c r="AP64" s="297"/>
      <c r="AQ64" s="262"/>
    </row>
    <row r="65" spans="1:43" s="312" customFormat="1" ht="18.75" x14ac:dyDescent="0.3">
      <c r="A65" s="297"/>
      <c r="B65" s="298" t="s">
        <v>472</v>
      </c>
      <c r="C65" s="326" t="s">
        <v>113</v>
      </c>
      <c r="D65" s="310"/>
      <c r="E65" s="299">
        <v>2500</v>
      </c>
      <c r="F65" s="300"/>
      <c r="G65" s="299">
        <v>0</v>
      </c>
      <c r="H65" s="300"/>
      <c r="I65" s="299">
        <v>0</v>
      </c>
      <c r="J65" s="300"/>
      <c r="K65" s="313">
        <v>0</v>
      </c>
      <c r="L65" s="300"/>
      <c r="M65" s="299">
        <v>0</v>
      </c>
      <c r="N65" s="300"/>
      <c r="O65" s="313">
        <v>0</v>
      </c>
      <c r="P65" s="300"/>
      <c r="Q65" s="299">
        <v>0</v>
      </c>
      <c r="R65" s="300"/>
      <c r="S65" s="299">
        <v>0</v>
      </c>
      <c r="T65" s="300"/>
      <c r="U65" s="299">
        <v>0</v>
      </c>
      <c r="V65" s="300"/>
      <c r="W65" s="313">
        <v>0</v>
      </c>
      <c r="X65" s="300"/>
      <c r="Y65" s="313">
        <v>0</v>
      </c>
      <c r="Z65" s="300"/>
      <c r="AA65" s="299">
        <v>0</v>
      </c>
      <c r="AB65" s="300"/>
      <c r="AC65" s="299">
        <v>0</v>
      </c>
      <c r="AD65" s="300"/>
      <c r="AE65" s="299">
        <v>0</v>
      </c>
      <c r="AF65" s="300"/>
      <c r="AG65" s="299">
        <v>0</v>
      </c>
      <c r="AH65" s="300"/>
      <c r="AI65" s="299">
        <v>0</v>
      </c>
      <c r="AJ65" s="300"/>
      <c r="AK65" s="299">
        <v>0</v>
      </c>
      <c r="AL65" s="300"/>
      <c r="AM65" s="299">
        <v>0</v>
      </c>
      <c r="AN65" s="300"/>
      <c r="AO65" s="311">
        <f t="shared" si="13"/>
        <v>2500</v>
      </c>
      <c r="AP65" s="297"/>
      <c r="AQ65" s="262"/>
    </row>
    <row r="66" spans="1:43" s="312" customFormat="1" ht="19.5" thickBot="1" x14ac:dyDescent="0.35">
      <c r="A66" s="297"/>
      <c r="B66" s="298" t="s">
        <v>473</v>
      </c>
      <c r="C66" s="326" t="s">
        <v>114</v>
      </c>
      <c r="D66" s="310"/>
      <c r="E66" s="299">
        <v>23960</v>
      </c>
      <c r="F66" s="300"/>
      <c r="G66" s="299">
        <v>0</v>
      </c>
      <c r="H66" s="300"/>
      <c r="I66" s="299">
        <v>0</v>
      </c>
      <c r="J66" s="300"/>
      <c r="K66" s="313">
        <v>0</v>
      </c>
      <c r="L66" s="300"/>
      <c r="M66" s="299">
        <v>0</v>
      </c>
      <c r="N66" s="300"/>
      <c r="O66" s="313">
        <v>0</v>
      </c>
      <c r="P66" s="300"/>
      <c r="Q66" s="299">
        <v>0</v>
      </c>
      <c r="R66" s="300"/>
      <c r="S66" s="299">
        <v>0</v>
      </c>
      <c r="T66" s="300"/>
      <c r="U66" s="299">
        <v>0</v>
      </c>
      <c r="V66" s="300"/>
      <c r="W66" s="313">
        <v>0</v>
      </c>
      <c r="X66" s="300"/>
      <c r="Y66" s="313">
        <v>0</v>
      </c>
      <c r="Z66" s="300"/>
      <c r="AA66" s="299">
        <v>0</v>
      </c>
      <c r="AB66" s="300"/>
      <c r="AC66" s="299">
        <v>0</v>
      </c>
      <c r="AD66" s="300"/>
      <c r="AE66" s="299">
        <v>0</v>
      </c>
      <c r="AF66" s="300"/>
      <c r="AG66" s="299">
        <v>0</v>
      </c>
      <c r="AH66" s="300"/>
      <c r="AI66" s="299">
        <v>0</v>
      </c>
      <c r="AJ66" s="300"/>
      <c r="AK66" s="299">
        <v>0</v>
      </c>
      <c r="AL66" s="300"/>
      <c r="AM66" s="299">
        <v>0</v>
      </c>
      <c r="AN66" s="300"/>
      <c r="AO66" s="311">
        <f t="shared" si="13"/>
        <v>23960</v>
      </c>
      <c r="AP66" s="297"/>
      <c r="AQ66" s="262"/>
    </row>
    <row r="67" spans="1:43" s="312" customFormat="1" ht="19.5" thickBot="1" x14ac:dyDescent="0.35">
      <c r="A67" s="297"/>
      <c r="B67" s="314" t="s">
        <v>479</v>
      </c>
      <c r="C67" s="315"/>
      <c r="D67" s="316"/>
      <c r="E67" s="317">
        <f>SUM(E61:E66)</f>
        <v>491703</v>
      </c>
      <c r="F67" s="318"/>
      <c r="G67" s="317">
        <f>SUM(G61:G66)</f>
        <v>0</v>
      </c>
      <c r="H67" s="318"/>
      <c r="I67" s="317">
        <f>SUM(I61:I66)</f>
        <v>0</v>
      </c>
      <c r="J67" s="318"/>
      <c r="K67" s="317">
        <f>SUM(K61:K66)</f>
        <v>0</v>
      </c>
      <c r="L67" s="318"/>
      <c r="M67" s="317">
        <f>SUM(M61:M66)</f>
        <v>0</v>
      </c>
      <c r="N67" s="318"/>
      <c r="O67" s="317">
        <f>SUM(O61:O66)</f>
        <v>0</v>
      </c>
      <c r="P67" s="318"/>
      <c r="Q67" s="317">
        <f>SUM(Q61:Q66)</f>
        <v>0</v>
      </c>
      <c r="R67" s="318"/>
      <c r="S67" s="317">
        <f>SUM(S61:S66)</f>
        <v>0</v>
      </c>
      <c r="T67" s="318"/>
      <c r="U67" s="317">
        <f>SUM(U61:U66)</f>
        <v>0</v>
      </c>
      <c r="V67" s="318"/>
      <c r="W67" s="317">
        <f>SUM(W61:W66)</f>
        <v>0</v>
      </c>
      <c r="X67" s="318"/>
      <c r="Y67" s="317">
        <f>SUM(Y61:Y66)</f>
        <v>0</v>
      </c>
      <c r="Z67" s="318"/>
      <c r="AA67" s="317">
        <f>SUM(AA61:AA66)</f>
        <v>0</v>
      </c>
      <c r="AB67" s="318"/>
      <c r="AC67" s="317">
        <f>SUM(AC61:AC66)</f>
        <v>0</v>
      </c>
      <c r="AD67" s="318"/>
      <c r="AE67" s="317">
        <f>SUM(AE61:AE66)</f>
        <v>0</v>
      </c>
      <c r="AF67" s="318"/>
      <c r="AG67" s="317">
        <f>SUM(AG61:AG66)</f>
        <v>0</v>
      </c>
      <c r="AH67" s="318"/>
      <c r="AI67" s="317">
        <f>SUM(AI61:AI66)</f>
        <v>0</v>
      </c>
      <c r="AJ67" s="318"/>
      <c r="AK67" s="317">
        <f>SUM(AK61:AK66)</f>
        <v>0</v>
      </c>
      <c r="AL67" s="318"/>
      <c r="AM67" s="317">
        <f>SUM(AM61:AM66)</f>
        <v>0</v>
      </c>
      <c r="AN67" s="318"/>
      <c r="AO67" s="317">
        <f>SUM(AO61:AO66)</f>
        <v>491703</v>
      </c>
      <c r="AP67" s="297"/>
      <c r="AQ67" s="262"/>
    </row>
    <row r="68" spans="1:43" s="312" customFormat="1" ht="18.75" x14ac:dyDescent="0.3">
      <c r="A68" s="297"/>
      <c r="B68" s="298"/>
      <c r="C68" s="309"/>
      <c r="D68" s="310"/>
      <c r="E68" s="311"/>
      <c r="F68" s="319"/>
      <c r="G68" s="311"/>
      <c r="H68" s="319"/>
      <c r="I68" s="311"/>
      <c r="J68" s="319"/>
      <c r="K68" s="311"/>
      <c r="L68" s="319"/>
      <c r="M68" s="311"/>
      <c r="N68" s="319"/>
      <c r="O68" s="311"/>
      <c r="P68" s="319"/>
      <c r="Q68" s="311"/>
      <c r="R68" s="319"/>
      <c r="S68" s="311"/>
      <c r="T68" s="319"/>
      <c r="U68" s="311"/>
      <c r="V68" s="319"/>
      <c r="W68" s="311"/>
      <c r="X68" s="319"/>
      <c r="Y68" s="311"/>
      <c r="Z68" s="319"/>
      <c r="AA68" s="311"/>
      <c r="AB68" s="319"/>
      <c r="AC68" s="311"/>
      <c r="AD68" s="319"/>
      <c r="AE68" s="311"/>
      <c r="AF68" s="319"/>
      <c r="AG68" s="311"/>
      <c r="AH68" s="319"/>
      <c r="AI68" s="311"/>
      <c r="AJ68" s="319"/>
      <c r="AK68" s="311"/>
      <c r="AL68" s="319"/>
      <c r="AM68" s="311"/>
      <c r="AN68" s="319"/>
      <c r="AO68" s="311"/>
      <c r="AP68" s="297"/>
      <c r="AQ68" s="262"/>
    </row>
    <row r="69" spans="1:43" s="312" customFormat="1" ht="18.75" x14ac:dyDescent="0.3">
      <c r="A69" s="297"/>
      <c r="B69" s="298" t="s">
        <v>118</v>
      </c>
      <c r="C69" s="309"/>
      <c r="D69" s="310"/>
      <c r="E69" s="311"/>
      <c r="F69" s="319"/>
      <c r="G69" s="311"/>
      <c r="H69" s="319"/>
      <c r="I69" s="311"/>
      <c r="J69" s="319"/>
      <c r="K69" s="311"/>
      <c r="L69" s="319"/>
      <c r="M69" s="311"/>
      <c r="N69" s="319"/>
      <c r="O69" s="311"/>
      <c r="P69" s="319"/>
      <c r="Q69" s="311"/>
      <c r="R69" s="319"/>
      <c r="S69" s="311"/>
      <c r="T69" s="319"/>
      <c r="U69" s="311"/>
      <c r="V69" s="319"/>
      <c r="W69" s="311"/>
      <c r="X69" s="319"/>
      <c r="Y69" s="311"/>
      <c r="Z69" s="319"/>
      <c r="AA69" s="311"/>
      <c r="AB69" s="319"/>
      <c r="AC69" s="311"/>
      <c r="AD69" s="319"/>
      <c r="AE69" s="311"/>
      <c r="AF69" s="319"/>
      <c r="AG69" s="311"/>
      <c r="AH69" s="319"/>
      <c r="AI69" s="311"/>
      <c r="AJ69" s="319"/>
      <c r="AK69" s="311"/>
      <c r="AL69" s="319"/>
      <c r="AM69" s="311"/>
      <c r="AN69" s="319"/>
      <c r="AO69" s="311"/>
      <c r="AP69" s="297"/>
      <c r="AQ69" s="262"/>
    </row>
    <row r="70" spans="1:43" s="312" customFormat="1" ht="18.75" x14ac:dyDescent="0.3">
      <c r="A70" s="297"/>
      <c r="B70" s="298" t="s">
        <v>467</v>
      </c>
      <c r="C70" s="326" t="s">
        <v>108</v>
      </c>
      <c r="D70" s="310"/>
      <c r="E70" s="299">
        <v>1359217</v>
      </c>
      <c r="F70" s="300"/>
      <c r="G70" s="299">
        <v>0</v>
      </c>
      <c r="H70" s="300"/>
      <c r="I70" s="299">
        <v>0</v>
      </c>
      <c r="J70" s="300"/>
      <c r="K70" s="313">
        <v>0</v>
      </c>
      <c r="L70" s="300"/>
      <c r="M70" s="299">
        <v>0</v>
      </c>
      <c r="N70" s="300"/>
      <c r="O70" s="313">
        <v>0</v>
      </c>
      <c r="P70" s="300"/>
      <c r="Q70" s="299">
        <v>0</v>
      </c>
      <c r="R70" s="300"/>
      <c r="S70" s="299">
        <v>0</v>
      </c>
      <c r="T70" s="300"/>
      <c r="U70" s="299">
        <v>0</v>
      </c>
      <c r="V70" s="300"/>
      <c r="W70" s="313">
        <v>0</v>
      </c>
      <c r="X70" s="300"/>
      <c r="Y70" s="313">
        <v>0</v>
      </c>
      <c r="Z70" s="300"/>
      <c r="AA70" s="299">
        <v>0</v>
      </c>
      <c r="AB70" s="300"/>
      <c r="AC70" s="299">
        <v>0</v>
      </c>
      <c r="AD70" s="300"/>
      <c r="AE70" s="299">
        <v>0</v>
      </c>
      <c r="AF70" s="300"/>
      <c r="AG70" s="299">
        <v>0</v>
      </c>
      <c r="AH70" s="300"/>
      <c r="AI70" s="299">
        <v>0</v>
      </c>
      <c r="AJ70" s="300"/>
      <c r="AK70" s="299">
        <v>0</v>
      </c>
      <c r="AL70" s="300"/>
      <c r="AM70" s="299">
        <v>0</v>
      </c>
      <c r="AN70" s="300"/>
      <c r="AO70" s="311">
        <f t="shared" ref="AO70:AO75" si="14">E70+K70+G70+I70+M70+O70+Q70+S70+U70+W70+Y70+AA70+AC70+AE70+AG70+AI70+AK70+AM70</f>
        <v>1359217</v>
      </c>
      <c r="AP70" s="297"/>
      <c r="AQ70" s="262"/>
    </row>
    <row r="71" spans="1:43" s="312" customFormat="1" ht="18.75" x14ac:dyDescent="0.3">
      <c r="A71" s="297"/>
      <c r="B71" s="298" t="s">
        <v>469</v>
      </c>
      <c r="C71" s="326" t="s">
        <v>109</v>
      </c>
      <c r="D71" s="310"/>
      <c r="E71" s="299">
        <v>492628</v>
      </c>
      <c r="F71" s="300"/>
      <c r="G71" s="299">
        <v>0</v>
      </c>
      <c r="H71" s="300"/>
      <c r="I71" s="299">
        <v>0</v>
      </c>
      <c r="J71" s="300"/>
      <c r="K71" s="313">
        <v>0</v>
      </c>
      <c r="L71" s="300"/>
      <c r="M71" s="299">
        <v>0</v>
      </c>
      <c r="N71" s="300"/>
      <c r="O71" s="313">
        <v>0</v>
      </c>
      <c r="P71" s="300"/>
      <c r="Q71" s="299">
        <v>0</v>
      </c>
      <c r="R71" s="300"/>
      <c r="S71" s="299">
        <v>0</v>
      </c>
      <c r="T71" s="300"/>
      <c r="U71" s="299">
        <v>0</v>
      </c>
      <c r="V71" s="300"/>
      <c r="W71" s="313">
        <v>0</v>
      </c>
      <c r="X71" s="300"/>
      <c r="Y71" s="313">
        <v>0</v>
      </c>
      <c r="Z71" s="300"/>
      <c r="AA71" s="299">
        <v>0</v>
      </c>
      <c r="AB71" s="300"/>
      <c r="AC71" s="299">
        <v>0</v>
      </c>
      <c r="AD71" s="300"/>
      <c r="AE71" s="299">
        <v>0</v>
      </c>
      <c r="AF71" s="300"/>
      <c r="AG71" s="299">
        <v>0</v>
      </c>
      <c r="AH71" s="300"/>
      <c r="AI71" s="299">
        <v>0</v>
      </c>
      <c r="AJ71" s="300"/>
      <c r="AK71" s="299">
        <v>0</v>
      </c>
      <c r="AL71" s="300"/>
      <c r="AM71" s="299">
        <v>0</v>
      </c>
      <c r="AN71" s="300"/>
      <c r="AO71" s="311">
        <f t="shared" si="14"/>
        <v>492628</v>
      </c>
      <c r="AP71" s="297"/>
      <c r="AQ71" s="262"/>
    </row>
    <row r="72" spans="1:43" s="312" customFormat="1" ht="37.5" x14ac:dyDescent="0.3">
      <c r="A72" s="297"/>
      <c r="B72" s="298" t="s">
        <v>470</v>
      </c>
      <c r="C72" s="326" t="s">
        <v>111</v>
      </c>
      <c r="D72" s="310"/>
      <c r="E72" s="299">
        <v>6284</v>
      </c>
      <c r="F72" s="300"/>
      <c r="G72" s="299">
        <v>0</v>
      </c>
      <c r="H72" s="300"/>
      <c r="I72" s="299">
        <v>0</v>
      </c>
      <c r="J72" s="300"/>
      <c r="K72" s="313">
        <v>0</v>
      </c>
      <c r="L72" s="300"/>
      <c r="M72" s="299">
        <v>0</v>
      </c>
      <c r="N72" s="300"/>
      <c r="O72" s="313">
        <v>0</v>
      </c>
      <c r="P72" s="300"/>
      <c r="Q72" s="299">
        <v>0</v>
      </c>
      <c r="R72" s="300"/>
      <c r="S72" s="299">
        <v>0</v>
      </c>
      <c r="T72" s="300"/>
      <c r="U72" s="299">
        <v>0</v>
      </c>
      <c r="V72" s="300"/>
      <c r="W72" s="313">
        <v>0</v>
      </c>
      <c r="X72" s="300"/>
      <c r="Y72" s="313">
        <v>0</v>
      </c>
      <c r="Z72" s="300"/>
      <c r="AA72" s="299">
        <v>0</v>
      </c>
      <c r="AB72" s="300"/>
      <c r="AC72" s="299">
        <v>0</v>
      </c>
      <c r="AD72" s="300"/>
      <c r="AE72" s="299">
        <v>0</v>
      </c>
      <c r="AF72" s="300"/>
      <c r="AG72" s="299">
        <v>0</v>
      </c>
      <c r="AH72" s="300"/>
      <c r="AI72" s="299">
        <v>0</v>
      </c>
      <c r="AJ72" s="300"/>
      <c r="AK72" s="299">
        <v>0</v>
      </c>
      <c r="AL72" s="300"/>
      <c r="AM72" s="299">
        <v>0</v>
      </c>
      <c r="AN72" s="300"/>
      <c r="AO72" s="311">
        <f t="shared" si="14"/>
        <v>6284</v>
      </c>
      <c r="AP72" s="297"/>
      <c r="AQ72" s="262"/>
    </row>
    <row r="73" spans="1:43" s="312" customFormat="1" ht="18.75" x14ac:dyDescent="0.3">
      <c r="A73" s="297"/>
      <c r="B73" s="298" t="s">
        <v>471</v>
      </c>
      <c r="C73" s="326" t="s">
        <v>112</v>
      </c>
      <c r="D73" s="310"/>
      <c r="E73" s="299">
        <v>59389</v>
      </c>
      <c r="F73" s="300"/>
      <c r="G73" s="299">
        <v>0</v>
      </c>
      <c r="H73" s="300"/>
      <c r="I73" s="299">
        <v>0</v>
      </c>
      <c r="J73" s="300"/>
      <c r="K73" s="313">
        <v>0</v>
      </c>
      <c r="L73" s="300"/>
      <c r="M73" s="299">
        <v>0</v>
      </c>
      <c r="N73" s="300"/>
      <c r="O73" s="313">
        <v>0</v>
      </c>
      <c r="P73" s="300"/>
      <c r="Q73" s="299">
        <v>0</v>
      </c>
      <c r="R73" s="300"/>
      <c r="S73" s="299">
        <v>0</v>
      </c>
      <c r="T73" s="300"/>
      <c r="U73" s="299">
        <v>0</v>
      </c>
      <c r="V73" s="300"/>
      <c r="W73" s="313">
        <v>0</v>
      </c>
      <c r="X73" s="300"/>
      <c r="Y73" s="313">
        <v>0</v>
      </c>
      <c r="Z73" s="300"/>
      <c r="AA73" s="299">
        <v>0</v>
      </c>
      <c r="AB73" s="300"/>
      <c r="AC73" s="299">
        <v>0</v>
      </c>
      <c r="AD73" s="300"/>
      <c r="AE73" s="299">
        <v>0</v>
      </c>
      <c r="AF73" s="300"/>
      <c r="AG73" s="299">
        <v>0</v>
      </c>
      <c r="AH73" s="300"/>
      <c r="AI73" s="299">
        <v>0</v>
      </c>
      <c r="AJ73" s="300"/>
      <c r="AK73" s="299">
        <v>0</v>
      </c>
      <c r="AL73" s="300"/>
      <c r="AM73" s="299">
        <v>0</v>
      </c>
      <c r="AN73" s="300"/>
      <c r="AO73" s="311">
        <f t="shared" si="14"/>
        <v>59389</v>
      </c>
      <c r="AP73" s="297"/>
      <c r="AQ73" s="262"/>
    </row>
    <row r="74" spans="1:43" s="312" customFormat="1" ht="18.75" x14ac:dyDescent="0.3">
      <c r="A74" s="297"/>
      <c r="B74" s="298" t="s">
        <v>480</v>
      </c>
      <c r="C74" s="326" t="s">
        <v>113</v>
      </c>
      <c r="D74" s="310"/>
      <c r="E74" s="299">
        <v>0</v>
      </c>
      <c r="F74" s="300"/>
      <c r="G74" s="299">
        <v>0</v>
      </c>
      <c r="H74" s="300"/>
      <c r="I74" s="299">
        <v>0</v>
      </c>
      <c r="J74" s="300"/>
      <c r="K74" s="313">
        <v>0</v>
      </c>
      <c r="L74" s="300"/>
      <c r="M74" s="299">
        <v>0</v>
      </c>
      <c r="N74" s="300"/>
      <c r="O74" s="313">
        <v>0</v>
      </c>
      <c r="P74" s="300"/>
      <c r="Q74" s="299">
        <v>0</v>
      </c>
      <c r="R74" s="300"/>
      <c r="S74" s="299">
        <v>0</v>
      </c>
      <c r="T74" s="300"/>
      <c r="U74" s="299">
        <v>0</v>
      </c>
      <c r="V74" s="300"/>
      <c r="W74" s="313">
        <v>0</v>
      </c>
      <c r="X74" s="300"/>
      <c r="Y74" s="313">
        <v>0</v>
      </c>
      <c r="Z74" s="300"/>
      <c r="AA74" s="299">
        <v>0</v>
      </c>
      <c r="AB74" s="300"/>
      <c r="AC74" s="299">
        <v>0</v>
      </c>
      <c r="AD74" s="300"/>
      <c r="AE74" s="299">
        <v>0</v>
      </c>
      <c r="AF74" s="300"/>
      <c r="AG74" s="299">
        <v>0</v>
      </c>
      <c r="AH74" s="300"/>
      <c r="AI74" s="299">
        <v>0</v>
      </c>
      <c r="AJ74" s="300"/>
      <c r="AK74" s="299">
        <v>0</v>
      </c>
      <c r="AL74" s="300"/>
      <c r="AM74" s="299">
        <v>0</v>
      </c>
      <c r="AN74" s="300"/>
      <c r="AO74" s="311">
        <f t="shared" si="14"/>
        <v>0</v>
      </c>
      <c r="AP74" s="297"/>
      <c r="AQ74" s="262"/>
    </row>
    <row r="75" spans="1:43" s="312" customFormat="1" ht="19.5" thickBot="1" x14ac:dyDescent="0.35">
      <c r="A75" s="297"/>
      <c r="B75" s="298" t="s">
        <v>473</v>
      </c>
      <c r="C75" s="326" t="s">
        <v>114</v>
      </c>
      <c r="D75" s="310"/>
      <c r="E75" s="299">
        <v>1700</v>
      </c>
      <c r="F75" s="300"/>
      <c r="G75" s="299">
        <v>0</v>
      </c>
      <c r="H75" s="300"/>
      <c r="I75" s="299">
        <v>0</v>
      </c>
      <c r="J75" s="300"/>
      <c r="K75" s="313">
        <v>0</v>
      </c>
      <c r="L75" s="300"/>
      <c r="M75" s="299">
        <v>0</v>
      </c>
      <c r="N75" s="300"/>
      <c r="O75" s="313">
        <v>0</v>
      </c>
      <c r="P75" s="300"/>
      <c r="Q75" s="299">
        <v>0</v>
      </c>
      <c r="R75" s="300"/>
      <c r="S75" s="299">
        <v>0</v>
      </c>
      <c r="T75" s="300"/>
      <c r="U75" s="299">
        <v>0</v>
      </c>
      <c r="V75" s="300"/>
      <c r="W75" s="313">
        <v>0</v>
      </c>
      <c r="X75" s="300"/>
      <c r="Y75" s="313">
        <v>0</v>
      </c>
      <c r="Z75" s="300"/>
      <c r="AA75" s="299">
        <v>0</v>
      </c>
      <c r="AB75" s="300"/>
      <c r="AC75" s="299">
        <v>0</v>
      </c>
      <c r="AD75" s="300"/>
      <c r="AE75" s="299">
        <v>0</v>
      </c>
      <c r="AF75" s="300"/>
      <c r="AG75" s="299">
        <v>0</v>
      </c>
      <c r="AH75" s="300"/>
      <c r="AI75" s="299">
        <v>0</v>
      </c>
      <c r="AJ75" s="300"/>
      <c r="AK75" s="299">
        <v>0</v>
      </c>
      <c r="AL75" s="300"/>
      <c r="AM75" s="299">
        <v>0</v>
      </c>
      <c r="AN75" s="300"/>
      <c r="AO75" s="311">
        <f t="shared" si="14"/>
        <v>1700</v>
      </c>
      <c r="AP75" s="297"/>
      <c r="AQ75" s="262"/>
    </row>
    <row r="76" spans="1:43" s="312" customFormat="1" ht="19.5" thickBot="1" x14ac:dyDescent="0.35">
      <c r="A76" s="297"/>
      <c r="B76" s="314" t="s">
        <v>479</v>
      </c>
      <c r="C76" s="315"/>
      <c r="D76" s="316"/>
      <c r="E76" s="317">
        <f>SUM(E70:E75)</f>
        <v>1919218</v>
      </c>
      <c r="F76" s="318"/>
      <c r="G76" s="317">
        <f>SUM(G70:G75)</f>
        <v>0</v>
      </c>
      <c r="H76" s="318"/>
      <c r="I76" s="317">
        <f>SUM(I70:I75)</f>
        <v>0</v>
      </c>
      <c r="J76" s="318"/>
      <c r="K76" s="317">
        <f>SUM(K70:K75)</f>
        <v>0</v>
      </c>
      <c r="L76" s="318"/>
      <c r="M76" s="317">
        <f>SUM(M70:M75)</f>
        <v>0</v>
      </c>
      <c r="N76" s="318"/>
      <c r="O76" s="317">
        <f>SUM(O70:O75)</f>
        <v>0</v>
      </c>
      <c r="P76" s="318"/>
      <c r="Q76" s="317">
        <f>SUM(Q70:Q75)</f>
        <v>0</v>
      </c>
      <c r="R76" s="318"/>
      <c r="S76" s="317">
        <f>SUM(S70:S75)</f>
        <v>0</v>
      </c>
      <c r="T76" s="318"/>
      <c r="U76" s="317">
        <f>SUM(U70:U75)</f>
        <v>0</v>
      </c>
      <c r="V76" s="318"/>
      <c r="W76" s="317">
        <f>SUM(W70:W75)</f>
        <v>0</v>
      </c>
      <c r="X76" s="318"/>
      <c r="Y76" s="317">
        <f>SUM(Y70:Y75)</f>
        <v>0</v>
      </c>
      <c r="Z76" s="318"/>
      <c r="AA76" s="317">
        <f>SUM(AA70:AA75)</f>
        <v>0</v>
      </c>
      <c r="AB76" s="318"/>
      <c r="AC76" s="317">
        <f>SUM(AC70:AC75)</f>
        <v>0</v>
      </c>
      <c r="AD76" s="318"/>
      <c r="AE76" s="317">
        <f>SUM(AE70:AE75)</f>
        <v>0</v>
      </c>
      <c r="AF76" s="318"/>
      <c r="AG76" s="317">
        <f>SUM(AG70:AG75)</f>
        <v>0</v>
      </c>
      <c r="AH76" s="318"/>
      <c r="AI76" s="317">
        <f>SUM(AI70:AI75)</f>
        <v>0</v>
      </c>
      <c r="AJ76" s="318"/>
      <c r="AK76" s="317">
        <f>SUM(AK70:AK75)</f>
        <v>0</v>
      </c>
      <c r="AL76" s="318"/>
      <c r="AM76" s="317">
        <f>SUM(AM70:AM75)</f>
        <v>0</v>
      </c>
      <c r="AN76" s="318"/>
      <c r="AO76" s="317">
        <f>SUM(AO70:AO75)</f>
        <v>1919218</v>
      </c>
      <c r="AP76" s="297"/>
      <c r="AQ76" s="262"/>
    </row>
    <row r="77" spans="1:43" s="312" customFormat="1" ht="18.75" x14ac:dyDescent="0.3">
      <c r="A77" s="297"/>
      <c r="B77" s="298"/>
      <c r="C77" s="309"/>
      <c r="D77" s="310"/>
      <c r="E77" s="311"/>
      <c r="F77" s="319"/>
      <c r="G77" s="311"/>
      <c r="H77" s="319"/>
      <c r="I77" s="311"/>
      <c r="J77" s="319"/>
      <c r="K77" s="311"/>
      <c r="L77" s="319"/>
      <c r="M77" s="311"/>
      <c r="N77" s="319"/>
      <c r="O77" s="311"/>
      <c r="P77" s="319"/>
      <c r="Q77" s="311"/>
      <c r="R77" s="319"/>
      <c r="S77" s="311"/>
      <c r="T77" s="319"/>
      <c r="U77" s="311"/>
      <c r="V77" s="319"/>
      <c r="W77" s="311"/>
      <c r="X77" s="319"/>
      <c r="Y77" s="311"/>
      <c r="Z77" s="319"/>
      <c r="AA77" s="311"/>
      <c r="AB77" s="319"/>
      <c r="AC77" s="311"/>
      <c r="AD77" s="319"/>
      <c r="AE77" s="311"/>
      <c r="AF77" s="319"/>
      <c r="AG77" s="311"/>
      <c r="AH77" s="319"/>
      <c r="AI77" s="311"/>
      <c r="AJ77" s="319"/>
      <c r="AK77" s="311"/>
      <c r="AL77" s="319"/>
      <c r="AM77" s="311"/>
      <c r="AN77" s="319"/>
      <c r="AO77" s="311"/>
      <c r="AP77" s="297"/>
      <c r="AQ77" s="262"/>
    </row>
    <row r="78" spans="1:43" s="312" customFormat="1" ht="37.5" x14ac:dyDescent="0.3">
      <c r="A78" s="297"/>
      <c r="B78" s="298" t="s">
        <v>481</v>
      </c>
      <c r="C78" s="309"/>
      <c r="D78" s="310"/>
      <c r="E78" s="311"/>
      <c r="F78" s="319"/>
      <c r="G78" s="311"/>
      <c r="H78" s="319"/>
      <c r="I78" s="311"/>
      <c r="J78" s="319"/>
      <c r="K78" s="311"/>
      <c r="L78" s="319"/>
      <c r="M78" s="311"/>
      <c r="N78" s="319"/>
      <c r="O78" s="311"/>
      <c r="P78" s="319"/>
      <c r="Q78" s="311"/>
      <c r="R78" s="319"/>
      <c r="S78" s="311"/>
      <c r="T78" s="319"/>
      <c r="U78" s="311"/>
      <c r="V78" s="319"/>
      <c r="W78" s="311"/>
      <c r="X78" s="319"/>
      <c r="Y78" s="311"/>
      <c r="Z78" s="319"/>
      <c r="AA78" s="311"/>
      <c r="AB78" s="319"/>
      <c r="AC78" s="311"/>
      <c r="AD78" s="319"/>
      <c r="AE78" s="311"/>
      <c r="AF78" s="319"/>
      <c r="AG78" s="311"/>
      <c r="AH78" s="319"/>
      <c r="AI78" s="311"/>
      <c r="AJ78" s="319"/>
      <c r="AK78" s="311"/>
      <c r="AL78" s="319"/>
      <c r="AM78" s="311"/>
      <c r="AN78" s="319"/>
      <c r="AO78" s="311"/>
      <c r="AP78" s="297"/>
      <c r="AQ78" s="262"/>
    </row>
    <row r="79" spans="1:43" s="312" customFormat="1" ht="18.75" x14ac:dyDescent="0.3">
      <c r="A79" s="297"/>
      <c r="B79" s="298" t="s">
        <v>467</v>
      </c>
      <c r="C79" s="326" t="s">
        <v>108</v>
      </c>
      <c r="D79" s="310"/>
      <c r="E79" s="299">
        <v>419887</v>
      </c>
      <c r="F79" s="300"/>
      <c r="G79" s="299">
        <v>0</v>
      </c>
      <c r="H79" s="300"/>
      <c r="I79" s="299">
        <v>0</v>
      </c>
      <c r="J79" s="300"/>
      <c r="K79" s="313">
        <v>0</v>
      </c>
      <c r="L79" s="300"/>
      <c r="M79" s="299">
        <v>0</v>
      </c>
      <c r="N79" s="300"/>
      <c r="O79" s="313">
        <v>0</v>
      </c>
      <c r="P79" s="300"/>
      <c r="Q79" s="299">
        <v>0</v>
      </c>
      <c r="R79" s="300"/>
      <c r="S79" s="299">
        <v>0</v>
      </c>
      <c r="T79" s="300"/>
      <c r="U79" s="299">
        <v>0</v>
      </c>
      <c r="V79" s="300"/>
      <c r="W79" s="313">
        <v>0</v>
      </c>
      <c r="X79" s="300"/>
      <c r="Y79" s="313">
        <v>0</v>
      </c>
      <c r="Z79" s="300"/>
      <c r="AA79" s="299">
        <v>0</v>
      </c>
      <c r="AB79" s="300"/>
      <c r="AC79" s="299">
        <v>0</v>
      </c>
      <c r="AD79" s="300"/>
      <c r="AE79" s="299">
        <v>0</v>
      </c>
      <c r="AF79" s="300"/>
      <c r="AG79" s="299">
        <v>0</v>
      </c>
      <c r="AH79" s="300"/>
      <c r="AI79" s="299">
        <v>0</v>
      </c>
      <c r="AJ79" s="300"/>
      <c r="AK79" s="299">
        <v>0</v>
      </c>
      <c r="AL79" s="300"/>
      <c r="AM79" s="299">
        <v>0</v>
      </c>
      <c r="AN79" s="300"/>
      <c r="AO79" s="311">
        <f t="shared" ref="AO79:AO84" si="15">E79+K79+G79+I79+M79+O79+Q79+S79+U79+W79+Y79+AA79+AC79+AE79+AG79+AI79+AK79+AM79</f>
        <v>419887</v>
      </c>
      <c r="AP79" s="297"/>
      <c r="AQ79" s="262"/>
    </row>
    <row r="80" spans="1:43" s="312" customFormat="1" ht="18.75" x14ac:dyDescent="0.3">
      <c r="A80" s="297"/>
      <c r="B80" s="298" t="s">
        <v>469</v>
      </c>
      <c r="C80" s="326" t="s">
        <v>109</v>
      </c>
      <c r="D80" s="310"/>
      <c r="E80" s="299">
        <v>136841</v>
      </c>
      <c r="F80" s="300"/>
      <c r="G80" s="299">
        <v>0</v>
      </c>
      <c r="H80" s="300"/>
      <c r="I80" s="299">
        <v>0</v>
      </c>
      <c r="J80" s="300"/>
      <c r="K80" s="313">
        <v>0</v>
      </c>
      <c r="L80" s="300"/>
      <c r="M80" s="299">
        <v>0</v>
      </c>
      <c r="N80" s="300"/>
      <c r="O80" s="313">
        <v>0</v>
      </c>
      <c r="P80" s="300"/>
      <c r="Q80" s="299">
        <v>0</v>
      </c>
      <c r="R80" s="300"/>
      <c r="S80" s="299">
        <v>0</v>
      </c>
      <c r="T80" s="300"/>
      <c r="U80" s="299">
        <v>0</v>
      </c>
      <c r="V80" s="300"/>
      <c r="W80" s="313">
        <v>0</v>
      </c>
      <c r="X80" s="300"/>
      <c r="Y80" s="313">
        <v>0</v>
      </c>
      <c r="Z80" s="300"/>
      <c r="AA80" s="299">
        <v>0</v>
      </c>
      <c r="AB80" s="300"/>
      <c r="AC80" s="299">
        <v>0</v>
      </c>
      <c r="AD80" s="300"/>
      <c r="AE80" s="299">
        <v>0</v>
      </c>
      <c r="AF80" s="300"/>
      <c r="AG80" s="299">
        <v>0</v>
      </c>
      <c r="AH80" s="300"/>
      <c r="AI80" s="299">
        <v>0</v>
      </c>
      <c r="AJ80" s="300"/>
      <c r="AK80" s="299">
        <v>0</v>
      </c>
      <c r="AL80" s="300"/>
      <c r="AM80" s="299">
        <v>0</v>
      </c>
      <c r="AN80" s="300"/>
      <c r="AO80" s="311">
        <f t="shared" si="15"/>
        <v>136841</v>
      </c>
      <c r="AP80" s="297"/>
      <c r="AQ80" s="262"/>
    </row>
    <row r="81" spans="1:43" s="312" customFormat="1" ht="37.5" x14ac:dyDescent="0.3">
      <c r="A81" s="297"/>
      <c r="B81" s="298" t="s">
        <v>470</v>
      </c>
      <c r="C81" s="326" t="s">
        <v>111</v>
      </c>
      <c r="D81" s="310"/>
      <c r="E81" s="299">
        <v>127850</v>
      </c>
      <c r="F81" s="300"/>
      <c r="G81" s="299">
        <v>0</v>
      </c>
      <c r="H81" s="300"/>
      <c r="I81" s="299">
        <v>0</v>
      </c>
      <c r="J81" s="300"/>
      <c r="K81" s="299">
        <v>0</v>
      </c>
      <c r="L81" s="300"/>
      <c r="M81" s="299">
        <v>0</v>
      </c>
      <c r="N81" s="300"/>
      <c r="O81" s="313">
        <v>0</v>
      </c>
      <c r="P81" s="300"/>
      <c r="Q81" s="299">
        <v>0</v>
      </c>
      <c r="R81" s="300"/>
      <c r="S81" s="299">
        <v>0</v>
      </c>
      <c r="T81" s="300"/>
      <c r="U81" s="299">
        <v>0</v>
      </c>
      <c r="V81" s="300"/>
      <c r="W81" s="313">
        <v>0</v>
      </c>
      <c r="X81" s="300"/>
      <c r="Y81" s="313">
        <v>0</v>
      </c>
      <c r="Z81" s="300"/>
      <c r="AA81" s="299">
        <v>0</v>
      </c>
      <c r="AB81" s="300"/>
      <c r="AC81" s="299">
        <v>0</v>
      </c>
      <c r="AD81" s="300"/>
      <c r="AE81" s="299">
        <v>80000</v>
      </c>
      <c r="AF81" s="300"/>
      <c r="AG81" s="299">
        <v>0</v>
      </c>
      <c r="AH81" s="300"/>
      <c r="AI81" s="299">
        <v>0</v>
      </c>
      <c r="AJ81" s="300"/>
      <c r="AK81" s="299">
        <v>0</v>
      </c>
      <c r="AL81" s="300"/>
      <c r="AM81" s="299">
        <v>0</v>
      </c>
      <c r="AN81" s="300"/>
      <c r="AO81" s="311">
        <f t="shared" si="15"/>
        <v>207850</v>
      </c>
      <c r="AP81" s="297"/>
      <c r="AQ81" s="262"/>
    </row>
    <row r="82" spans="1:43" s="312" customFormat="1" ht="18.75" x14ac:dyDescent="0.3">
      <c r="A82" s="297"/>
      <c r="B82" s="298" t="s">
        <v>471</v>
      </c>
      <c r="C82" s="326" t="s">
        <v>112</v>
      </c>
      <c r="D82" s="310"/>
      <c r="E82" s="299">
        <v>18000</v>
      </c>
      <c r="F82" s="300"/>
      <c r="G82" s="299">
        <v>0</v>
      </c>
      <c r="H82" s="300"/>
      <c r="I82" s="299">
        <v>0</v>
      </c>
      <c r="J82" s="300"/>
      <c r="K82" s="313">
        <v>0</v>
      </c>
      <c r="L82" s="300"/>
      <c r="M82" s="299">
        <v>0</v>
      </c>
      <c r="N82" s="300"/>
      <c r="O82" s="313">
        <v>0</v>
      </c>
      <c r="P82" s="300"/>
      <c r="Q82" s="299">
        <v>0</v>
      </c>
      <c r="R82" s="300"/>
      <c r="S82" s="299">
        <v>0</v>
      </c>
      <c r="T82" s="300"/>
      <c r="U82" s="299">
        <v>0</v>
      </c>
      <c r="V82" s="300"/>
      <c r="W82" s="313">
        <v>0</v>
      </c>
      <c r="X82" s="300"/>
      <c r="Y82" s="313">
        <v>0</v>
      </c>
      <c r="Z82" s="300"/>
      <c r="AA82" s="299">
        <v>0</v>
      </c>
      <c r="AB82" s="300"/>
      <c r="AC82" s="299">
        <v>0</v>
      </c>
      <c r="AD82" s="300"/>
      <c r="AE82" s="299">
        <v>0</v>
      </c>
      <c r="AF82" s="300"/>
      <c r="AG82" s="299">
        <v>0</v>
      </c>
      <c r="AH82" s="300"/>
      <c r="AI82" s="299">
        <v>0</v>
      </c>
      <c r="AJ82" s="300"/>
      <c r="AK82" s="299">
        <v>0</v>
      </c>
      <c r="AL82" s="300"/>
      <c r="AM82" s="299">
        <v>0</v>
      </c>
      <c r="AN82" s="300"/>
      <c r="AO82" s="311">
        <f t="shared" si="15"/>
        <v>18000</v>
      </c>
      <c r="AP82" s="297"/>
      <c r="AQ82" s="262"/>
    </row>
    <row r="83" spans="1:43" s="312" customFormat="1" ht="18.75" x14ac:dyDescent="0.3">
      <c r="A83" s="297"/>
      <c r="B83" s="298" t="s">
        <v>472</v>
      </c>
      <c r="C83" s="326" t="s">
        <v>113</v>
      </c>
      <c r="D83" s="310"/>
      <c r="E83" s="299">
        <v>750</v>
      </c>
      <c r="F83" s="300"/>
      <c r="G83" s="299">
        <v>0</v>
      </c>
      <c r="H83" s="300"/>
      <c r="I83" s="299">
        <v>0</v>
      </c>
      <c r="J83" s="300"/>
      <c r="K83" s="313">
        <v>0</v>
      </c>
      <c r="L83" s="300"/>
      <c r="M83" s="299">
        <v>0</v>
      </c>
      <c r="N83" s="300"/>
      <c r="O83" s="313">
        <v>0</v>
      </c>
      <c r="P83" s="300"/>
      <c r="Q83" s="299">
        <v>0</v>
      </c>
      <c r="R83" s="300"/>
      <c r="S83" s="299">
        <v>0</v>
      </c>
      <c r="T83" s="300"/>
      <c r="U83" s="299">
        <v>0</v>
      </c>
      <c r="V83" s="300"/>
      <c r="W83" s="313">
        <v>0</v>
      </c>
      <c r="X83" s="300"/>
      <c r="Y83" s="313">
        <v>0</v>
      </c>
      <c r="Z83" s="300"/>
      <c r="AA83" s="299">
        <v>0</v>
      </c>
      <c r="AB83" s="300"/>
      <c r="AC83" s="299">
        <v>0</v>
      </c>
      <c r="AD83" s="300"/>
      <c r="AE83" s="299">
        <v>0</v>
      </c>
      <c r="AF83" s="300"/>
      <c r="AG83" s="299">
        <v>0</v>
      </c>
      <c r="AH83" s="300"/>
      <c r="AI83" s="299">
        <v>0</v>
      </c>
      <c r="AJ83" s="300"/>
      <c r="AK83" s="299">
        <v>0</v>
      </c>
      <c r="AL83" s="300"/>
      <c r="AM83" s="299">
        <v>0</v>
      </c>
      <c r="AN83" s="300"/>
      <c r="AO83" s="311">
        <f t="shared" si="15"/>
        <v>750</v>
      </c>
      <c r="AP83" s="297"/>
      <c r="AQ83" s="262"/>
    </row>
    <row r="84" spans="1:43" s="312" customFormat="1" ht="19.5" thickBot="1" x14ac:dyDescent="0.35">
      <c r="A84" s="297"/>
      <c r="B84" s="298" t="s">
        <v>473</v>
      </c>
      <c r="C84" s="326" t="s">
        <v>114</v>
      </c>
      <c r="D84" s="310"/>
      <c r="E84" s="299">
        <v>2000</v>
      </c>
      <c r="F84" s="300"/>
      <c r="G84" s="299">
        <v>0</v>
      </c>
      <c r="H84" s="300"/>
      <c r="I84" s="299">
        <v>0</v>
      </c>
      <c r="J84" s="300"/>
      <c r="K84" s="313">
        <v>0</v>
      </c>
      <c r="L84" s="300"/>
      <c r="M84" s="299">
        <v>0</v>
      </c>
      <c r="N84" s="300"/>
      <c r="O84" s="313">
        <v>0</v>
      </c>
      <c r="P84" s="300"/>
      <c r="Q84" s="299">
        <v>0</v>
      </c>
      <c r="R84" s="300"/>
      <c r="S84" s="299">
        <v>0</v>
      </c>
      <c r="T84" s="300"/>
      <c r="U84" s="299">
        <v>0</v>
      </c>
      <c r="V84" s="300"/>
      <c r="W84" s="313">
        <v>0</v>
      </c>
      <c r="X84" s="300"/>
      <c r="Y84" s="313">
        <v>0</v>
      </c>
      <c r="Z84" s="300"/>
      <c r="AA84" s="299">
        <v>0</v>
      </c>
      <c r="AB84" s="300"/>
      <c r="AC84" s="299">
        <v>0</v>
      </c>
      <c r="AD84" s="300"/>
      <c r="AE84" s="299">
        <v>0</v>
      </c>
      <c r="AF84" s="300"/>
      <c r="AG84" s="299">
        <v>0</v>
      </c>
      <c r="AH84" s="300"/>
      <c r="AI84" s="299">
        <v>0</v>
      </c>
      <c r="AJ84" s="300"/>
      <c r="AK84" s="299">
        <v>0</v>
      </c>
      <c r="AL84" s="300"/>
      <c r="AM84" s="299">
        <v>0</v>
      </c>
      <c r="AN84" s="300"/>
      <c r="AO84" s="311">
        <f t="shared" si="15"/>
        <v>2000</v>
      </c>
      <c r="AP84" s="297"/>
      <c r="AQ84" s="262"/>
    </row>
    <row r="85" spans="1:43" s="312" customFormat="1" ht="19.5" thickBot="1" x14ac:dyDescent="0.35">
      <c r="A85" s="297"/>
      <c r="B85" s="314" t="s">
        <v>482</v>
      </c>
      <c r="C85" s="315"/>
      <c r="D85" s="316"/>
      <c r="E85" s="317">
        <f>SUM(E79:E84)</f>
        <v>705328</v>
      </c>
      <c r="F85" s="318"/>
      <c r="G85" s="317">
        <f>SUM(G79:G84)</f>
        <v>0</v>
      </c>
      <c r="H85" s="318"/>
      <c r="I85" s="317">
        <f>SUM(I79:I84)</f>
        <v>0</v>
      </c>
      <c r="J85" s="318"/>
      <c r="K85" s="317">
        <f>SUM(K79:K84)</f>
        <v>0</v>
      </c>
      <c r="L85" s="318"/>
      <c r="M85" s="317">
        <f>SUM(M79:M84)</f>
        <v>0</v>
      </c>
      <c r="N85" s="318"/>
      <c r="O85" s="317">
        <f>SUM(O79:O84)</f>
        <v>0</v>
      </c>
      <c r="P85" s="318"/>
      <c r="Q85" s="317">
        <f>SUM(Q79:Q84)</f>
        <v>0</v>
      </c>
      <c r="R85" s="318"/>
      <c r="S85" s="317">
        <f>SUM(S79:S84)</f>
        <v>0</v>
      </c>
      <c r="T85" s="318"/>
      <c r="U85" s="317">
        <f>SUM(U79:U84)</f>
        <v>0</v>
      </c>
      <c r="V85" s="318"/>
      <c r="W85" s="317">
        <f>SUM(W79:W84)</f>
        <v>0</v>
      </c>
      <c r="X85" s="318"/>
      <c r="Y85" s="317">
        <f>SUM(Y79:Y84)</f>
        <v>0</v>
      </c>
      <c r="Z85" s="318"/>
      <c r="AA85" s="317">
        <f>SUM(AA79:AA84)</f>
        <v>0</v>
      </c>
      <c r="AB85" s="318"/>
      <c r="AC85" s="317">
        <f>SUM(AC79:AC84)</f>
        <v>0</v>
      </c>
      <c r="AD85" s="318"/>
      <c r="AE85" s="317">
        <f>SUM(AE79:AE84)</f>
        <v>80000</v>
      </c>
      <c r="AF85" s="318"/>
      <c r="AG85" s="317">
        <f>SUM(AG79:AG84)</f>
        <v>0</v>
      </c>
      <c r="AH85" s="318"/>
      <c r="AI85" s="317">
        <f>SUM(AI79:AI84)</f>
        <v>0</v>
      </c>
      <c r="AJ85" s="318"/>
      <c r="AK85" s="317">
        <f>SUM(AK79:AK84)</f>
        <v>0</v>
      </c>
      <c r="AL85" s="318"/>
      <c r="AM85" s="317">
        <f>SUM(AM79:AM84)</f>
        <v>0</v>
      </c>
      <c r="AN85" s="318"/>
      <c r="AO85" s="317">
        <f>SUM(AO79:AO84)</f>
        <v>785328</v>
      </c>
      <c r="AP85" s="297"/>
      <c r="AQ85" s="262"/>
    </row>
    <row r="86" spans="1:43" s="312" customFormat="1" ht="18.75" x14ac:dyDescent="0.3">
      <c r="A86" s="297"/>
      <c r="B86" s="333"/>
      <c r="C86" s="334"/>
      <c r="D86" s="297"/>
      <c r="E86" s="335"/>
      <c r="F86" s="319"/>
      <c r="G86" s="335"/>
      <c r="H86" s="319"/>
      <c r="I86" s="335"/>
      <c r="J86" s="319"/>
      <c r="K86" s="335"/>
      <c r="L86" s="319"/>
      <c r="M86" s="335"/>
      <c r="N86" s="319"/>
      <c r="O86" s="335"/>
      <c r="P86" s="319"/>
      <c r="Q86" s="335"/>
      <c r="R86" s="319"/>
      <c r="S86" s="335"/>
      <c r="T86" s="319"/>
      <c r="U86" s="335"/>
      <c r="V86" s="319"/>
      <c r="W86" s="335"/>
      <c r="X86" s="319"/>
      <c r="Y86" s="335"/>
      <c r="Z86" s="319"/>
      <c r="AA86" s="335"/>
      <c r="AB86" s="319"/>
      <c r="AC86" s="335"/>
      <c r="AD86" s="319"/>
      <c r="AE86" s="335"/>
      <c r="AF86" s="319"/>
      <c r="AG86" s="335"/>
      <c r="AH86" s="319"/>
      <c r="AI86" s="335"/>
      <c r="AJ86" s="319"/>
      <c r="AK86" s="335"/>
      <c r="AL86" s="319"/>
      <c r="AM86" s="335"/>
      <c r="AN86" s="319"/>
      <c r="AO86" s="335"/>
      <c r="AP86" s="297"/>
      <c r="AQ86" s="262"/>
    </row>
    <row r="87" spans="1:43" s="312" customFormat="1" ht="18.75" x14ac:dyDescent="0.3">
      <c r="A87" s="297"/>
      <c r="B87" s="298" t="s">
        <v>119</v>
      </c>
      <c r="C87" s="309"/>
      <c r="D87" s="310"/>
      <c r="E87" s="311"/>
      <c r="F87" s="319"/>
      <c r="G87" s="311"/>
      <c r="H87" s="319"/>
      <c r="I87" s="311"/>
      <c r="J87" s="319"/>
      <c r="K87" s="311"/>
      <c r="L87" s="319"/>
      <c r="M87" s="311"/>
      <c r="N87" s="319"/>
      <c r="O87" s="311"/>
      <c r="P87" s="319"/>
      <c r="Q87" s="311"/>
      <c r="R87" s="319"/>
      <c r="S87" s="311"/>
      <c r="T87" s="319"/>
      <c r="U87" s="311"/>
      <c r="V87" s="319"/>
      <c r="W87" s="311"/>
      <c r="X87" s="319"/>
      <c r="Y87" s="311"/>
      <c r="Z87" s="319"/>
      <c r="AA87" s="311"/>
      <c r="AB87" s="319"/>
      <c r="AC87" s="311"/>
      <c r="AD87" s="319"/>
      <c r="AE87" s="311"/>
      <c r="AF87" s="319"/>
      <c r="AG87" s="311"/>
      <c r="AH87" s="319"/>
      <c r="AI87" s="311"/>
      <c r="AJ87" s="319"/>
      <c r="AK87" s="311"/>
      <c r="AL87" s="319"/>
      <c r="AM87" s="311"/>
      <c r="AN87" s="319"/>
      <c r="AO87" s="311"/>
      <c r="AP87" s="297"/>
      <c r="AQ87" s="262"/>
    </row>
    <row r="88" spans="1:43" s="312" customFormat="1" ht="18.75" x14ac:dyDescent="0.3">
      <c r="A88" s="297"/>
      <c r="B88" s="298" t="s">
        <v>467</v>
      </c>
      <c r="C88" s="326" t="s">
        <v>108</v>
      </c>
      <c r="D88" s="310"/>
      <c r="E88" s="299">
        <v>631646</v>
      </c>
      <c r="F88" s="300"/>
      <c r="G88" s="299">
        <v>0</v>
      </c>
      <c r="H88" s="300"/>
      <c r="I88" s="299">
        <v>0</v>
      </c>
      <c r="J88" s="300"/>
      <c r="K88" s="313">
        <v>0</v>
      </c>
      <c r="L88" s="300"/>
      <c r="M88" s="299">
        <v>0</v>
      </c>
      <c r="N88" s="300"/>
      <c r="O88" s="299">
        <v>0</v>
      </c>
      <c r="P88" s="300"/>
      <c r="Q88" s="299">
        <v>0</v>
      </c>
      <c r="R88" s="300"/>
      <c r="S88" s="299">
        <v>0</v>
      </c>
      <c r="T88" s="300"/>
      <c r="U88" s="299">
        <v>0</v>
      </c>
      <c r="V88" s="300"/>
      <c r="W88" s="313">
        <v>0</v>
      </c>
      <c r="X88" s="300"/>
      <c r="Y88" s="313">
        <v>0</v>
      </c>
      <c r="Z88" s="300"/>
      <c r="AA88" s="299">
        <v>0</v>
      </c>
      <c r="AB88" s="300"/>
      <c r="AC88" s="299">
        <v>0</v>
      </c>
      <c r="AD88" s="300"/>
      <c r="AE88" s="299">
        <v>0</v>
      </c>
      <c r="AF88" s="300"/>
      <c r="AG88" s="299">
        <v>0</v>
      </c>
      <c r="AH88" s="300"/>
      <c r="AI88" s="299">
        <v>0</v>
      </c>
      <c r="AJ88" s="300"/>
      <c r="AK88" s="299">
        <v>0</v>
      </c>
      <c r="AL88" s="300"/>
      <c r="AM88" s="299">
        <v>0</v>
      </c>
      <c r="AN88" s="300"/>
      <c r="AO88" s="311">
        <f t="shared" ref="AO88:AO93" si="16">E88+K88+G88+I88+M88+O88+Q88+S88+U88+W88+Y88+AA88+AC88+AE88+AG88+AI88+AK88+AM88</f>
        <v>631646</v>
      </c>
      <c r="AP88" s="297"/>
      <c r="AQ88" s="262"/>
    </row>
    <row r="89" spans="1:43" s="312" customFormat="1" ht="18.75" x14ac:dyDescent="0.3">
      <c r="A89" s="297"/>
      <c r="B89" s="298" t="s">
        <v>469</v>
      </c>
      <c r="C89" s="326" t="s">
        <v>109</v>
      </c>
      <c r="D89" s="310"/>
      <c r="E89" s="299">
        <v>226219</v>
      </c>
      <c r="F89" s="300"/>
      <c r="G89" s="299">
        <v>0</v>
      </c>
      <c r="H89" s="300"/>
      <c r="I89" s="299">
        <v>0</v>
      </c>
      <c r="J89" s="300"/>
      <c r="K89" s="313">
        <v>0</v>
      </c>
      <c r="L89" s="300"/>
      <c r="M89" s="299">
        <v>0</v>
      </c>
      <c r="N89" s="300"/>
      <c r="O89" s="299">
        <v>0</v>
      </c>
      <c r="P89" s="300"/>
      <c r="Q89" s="299">
        <v>0</v>
      </c>
      <c r="R89" s="300"/>
      <c r="S89" s="299">
        <v>0</v>
      </c>
      <c r="T89" s="300"/>
      <c r="U89" s="299">
        <v>0</v>
      </c>
      <c r="V89" s="300"/>
      <c r="W89" s="313">
        <v>0</v>
      </c>
      <c r="X89" s="300"/>
      <c r="Y89" s="313">
        <v>0</v>
      </c>
      <c r="Z89" s="300"/>
      <c r="AA89" s="299">
        <v>0</v>
      </c>
      <c r="AB89" s="300"/>
      <c r="AC89" s="299">
        <v>0</v>
      </c>
      <c r="AD89" s="300"/>
      <c r="AE89" s="299">
        <v>0</v>
      </c>
      <c r="AF89" s="300"/>
      <c r="AG89" s="299">
        <v>0</v>
      </c>
      <c r="AH89" s="300"/>
      <c r="AI89" s="299">
        <v>0</v>
      </c>
      <c r="AJ89" s="300"/>
      <c r="AK89" s="299">
        <v>0</v>
      </c>
      <c r="AL89" s="300"/>
      <c r="AM89" s="299">
        <v>0</v>
      </c>
      <c r="AN89" s="300"/>
      <c r="AO89" s="311">
        <f t="shared" si="16"/>
        <v>226219</v>
      </c>
      <c r="AP89" s="297"/>
      <c r="AQ89" s="262"/>
    </row>
    <row r="90" spans="1:43" s="312" customFormat="1" ht="37.5" x14ac:dyDescent="0.3">
      <c r="A90" s="297"/>
      <c r="B90" s="298" t="s">
        <v>470</v>
      </c>
      <c r="C90" s="326" t="s">
        <v>111</v>
      </c>
      <c r="D90" s="310"/>
      <c r="E90" s="299">
        <f>1678631+1</f>
        <v>1678632</v>
      </c>
      <c r="F90" s="300"/>
      <c r="G90" s="299">
        <v>502559</v>
      </c>
      <c r="H90" s="300"/>
      <c r="I90" s="299">
        <v>0</v>
      </c>
      <c r="J90" s="300"/>
      <c r="K90" s="313">
        <v>0</v>
      </c>
      <c r="L90" s="300"/>
      <c r="M90" s="299">
        <v>0</v>
      </c>
      <c r="N90" s="300"/>
      <c r="O90" s="299">
        <v>0</v>
      </c>
      <c r="P90" s="300"/>
      <c r="Q90" s="299">
        <v>0</v>
      </c>
      <c r="R90" s="300"/>
      <c r="S90" s="299">
        <v>0</v>
      </c>
      <c r="T90" s="300"/>
      <c r="U90" s="299">
        <v>0</v>
      </c>
      <c r="V90" s="300"/>
      <c r="W90" s="313">
        <v>0</v>
      </c>
      <c r="X90" s="300"/>
      <c r="Y90" s="313">
        <v>0</v>
      </c>
      <c r="Z90" s="300"/>
      <c r="AA90" s="299">
        <v>0</v>
      </c>
      <c r="AB90" s="300"/>
      <c r="AC90" s="299">
        <v>0</v>
      </c>
      <c r="AD90" s="300"/>
      <c r="AE90" s="299">
        <v>0</v>
      </c>
      <c r="AF90" s="300"/>
      <c r="AG90" s="299">
        <v>0</v>
      </c>
      <c r="AH90" s="300"/>
      <c r="AI90" s="299">
        <v>0</v>
      </c>
      <c r="AJ90" s="300"/>
      <c r="AK90" s="299">
        <v>0</v>
      </c>
      <c r="AL90" s="300"/>
      <c r="AM90" s="299">
        <v>0</v>
      </c>
      <c r="AN90" s="300"/>
      <c r="AO90" s="311">
        <f t="shared" si="16"/>
        <v>2181191</v>
      </c>
      <c r="AP90" s="297"/>
      <c r="AQ90" s="262"/>
    </row>
    <row r="91" spans="1:43" s="312" customFormat="1" ht="18.75" x14ac:dyDescent="0.3">
      <c r="A91" s="297"/>
      <c r="B91" s="298" t="s">
        <v>471</v>
      </c>
      <c r="C91" s="326" t="s">
        <v>112</v>
      </c>
      <c r="D91" s="310"/>
      <c r="E91" s="299">
        <v>736605</v>
      </c>
      <c r="F91" s="300"/>
      <c r="G91" s="299">
        <v>0</v>
      </c>
      <c r="H91" s="300"/>
      <c r="I91" s="299">
        <v>0</v>
      </c>
      <c r="J91" s="300"/>
      <c r="K91" s="313">
        <v>0</v>
      </c>
      <c r="L91" s="300"/>
      <c r="M91" s="299">
        <v>0</v>
      </c>
      <c r="N91" s="300"/>
      <c r="O91" s="299">
        <v>0</v>
      </c>
      <c r="P91" s="300"/>
      <c r="Q91" s="299">
        <v>0</v>
      </c>
      <c r="R91" s="300"/>
      <c r="S91" s="299">
        <v>0</v>
      </c>
      <c r="T91" s="300"/>
      <c r="U91" s="299">
        <v>0</v>
      </c>
      <c r="V91" s="300"/>
      <c r="W91" s="313">
        <v>0</v>
      </c>
      <c r="X91" s="300"/>
      <c r="Y91" s="313">
        <v>0</v>
      </c>
      <c r="Z91" s="300"/>
      <c r="AA91" s="299">
        <v>0</v>
      </c>
      <c r="AB91" s="300"/>
      <c r="AC91" s="299">
        <v>0</v>
      </c>
      <c r="AD91" s="300"/>
      <c r="AE91" s="299">
        <v>0</v>
      </c>
      <c r="AF91" s="300"/>
      <c r="AG91" s="299">
        <v>0</v>
      </c>
      <c r="AH91" s="300"/>
      <c r="AI91" s="299">
        <v>0</v>
      </c>
      <c r="AJ91" s="300"/>
      <c r="AK91" s="299">
        <v>0</v>
      </c>
      <c r="AL91" s="300"/>
      <c r="AM91" s="299">
        <v>0</v>
      </c>
      <c r="AN91" s="300"/>
      <c r="AO91" s="311">
        <f t="shared" si="16"/>
        <v>736605</v>
      </c>
      <c r="AP91" s="297"/>
      <c r="AQ91" s="262"/>
    </row>
    <row r="92" spans="1:43" s="312" customFormat="1" ht="18.75" x14ac:dyDescent="0.3">
      <c r="A92" s="297"/>
      <c r="B92" s="298" t="s">
        <v>472</v>
      </c>
      <c r="C92" s="326" t="s">
        <v>113</v>
      </c>
      <c r="D92" s="310"/>
      <c r="E92" s="299">
        <v>5000</v>
      </c>
      <c r="F92" s="300"/>
      <c r="G92" s="299">
        <v>750000</v>
      </c>
      <c r="H92" s="300"/>
      <c r="I92" s="299">
        <v>0</v>
      </c>
      <c r="J92" s="300"/>
      <c r="K92" s="313">
        <v>0</v>
      </c>
      <c r="L92" s="300"/>
      <c r="M92" s="299">
        <v>0</v>
      </c>
      <c r="N92" s="300"/>
      <c r="O92" s="299">
        <v>0</v>
      </c>
      <c r="P92" s="300"/>
      <c r="Q92" s="299">
        <v>0</v>
      </c>
      <c r="R92" s="300"/>
      <c r="S92" s="299">
        <v>0</v>
      </c>
      <c r="T92" s="300"/>
      <c r="U92" s="299">
        <v>0</v>
      </c>
      <c r="V92" s="300"/>
      <c r="W92" s="313">
        <v>0</v>
      </c>
      <c r="X92" s="300"/>
      <c r="Y92" s="313">
        <v>0</v>
      </c>
      <c r="Z92" s="300"/>
      <c r="AA92" s="299">
        <v>0</v>
      </c>
      <c r="AB92" s="300"/>
      <c r="AC92" s="299">
        <v>0</v>
      </c>
      <c r="AD92" s="300"/>
      <c r="AE92" s="299">
        <v>1795000</v>
      </c>
      <c r="AF92" s="300"/>
      <c r="AG92" s="299">
        <v>0</v>
      </c>
      <c r="AH92" s="300"/>
      <c r="AI92" s="299">
        <v>0</v>
      </c>
      <c r="AJ92" s="300"/>
      <c r="AK92" s="299">
        <v>0</v>
      </c>
      <c r="AL92" s="300"/>
      <c r="AM92" s="299">
        <v>0</v>
      </c>
      <c r="AN92" s="300"/>
      <c r="AO92" s="311">
        <f t="shared" si="16"/>
        <v>2550000</v>
      </c>
      <c r="AP92" s="297"/>
      <c r="AQ92" s="262"/>
    </row>
    <row r="93" spans="1:43" s="312" customFormat="1" ht="19.5" thickBot="1" x14ac:dyDescent="0.35">
      <c r="A93" s="297"/>
      <c r="B93" s="298" t="s">
        <v>473</v>
      </c>
      <c r="C93" s="326" t="s">
        <v>114</v>
      </c>
      <c r="D93" s="310"/>
      <c r="E93" s="299">
        <v>1055</v>
      </c>
      <c r="F93" s="300"/>
      <c r="G93" s="299">
        <v>0</v>
      </c>
      <c r="H93" s="300"/>
      <c r="I93" s="299">
        <v>0</v>
      </c>
      <c r="J93" s="300"/>
      <c r="K93" s="313">
        <v>0</v>
      </c>
      <c r="L93" s="300"/>
      <c r="M93" s="299">
        <v>0</v>
      </c>
      <c r="N93" s="300"/>
      <c r="O93" s="299">
        <v>0</v>
      </c>
      <c r="P93" s="300"/>
      <c r="Q93" s="299">
        <v>0</v>
      </c>
      <c r="R93" s="300"/>
      <c r="S93" s="299">
        <v>0</v>
      </c>
      <c r="T93" s="300"/>
      <c r="U93" s="299">
        <v>0</v>
      </c>
      <c r="V93" s="300"/>
      <c r="W93" s="313">
        <v>0</v>
      </c>
      <c r="X93" s="300"/>
      <c r="Y93" s="313">
        <v>0</v>
      </c>
      <c r="Z93" s="300"/>
      <c r="AA93" s="299">
        <v>0</v>
      </c>
      <c r="AB93" s="300"/>
      <c r="AC93" s="299">
        <v>0</v>
      </c>
      <c r="AD93" s="300"/>
      <c r="AE93" s="299">
        <v>0</v>
      </c>
      <c r="AF93" s="300"/>
      <c r="AG93" s="299">
        <v>0</v>
      </c>
      <c r="AH93" s="300"/>
      <c r="AI93" s="299">
        <v>0</v>
      </c>
      <c r="AJ93" s="300"/>
      <c r="AK93" s="299">
        <v>0</v>
      </c>
      <c r="AL93" s="300"/>
      <c r="AM93" s="299">
        <v>0</v>
      </c>
      <c r="AN93" s="300"/>
      <c r="AO93" s="311">
        <f t="shared" si="16"/>
        <v>1055</v>
      </c>
      <c r="AP93" s="297"/>
      <c r="AQ93" s="262"/>
    </row>
    <row r="94" spans="1:43" s="312" customFormat="1" ht="19.5" thickBot="1" x14ac:dyDescent="0.35">
      <c r="A94" s="297"/>
      <c r="B94" s="314" t="s">
        <v>483</v>
      </c>
      <c r="C94" s="315"/>
      <c r="D94" s="316"/>
      <c r="E94" s="317">
        <f>SUM(E88:E93)</f>
        <v>3279157</v>
      </c>
      <c r="F94" s="318"/>
      <c r="G94" s="317">
        <f>SUM(G88:G93)</f>
        <v>1252559</v>
      </c>
      <c r="H94" s="318"/>
      <c r="I94" s="317">
        <f>SUM(I88:I93)</f>
        <v>0</v>
      </c>
      <c r="J94" s="318"/>
      <c r="K94" s="317">
        <f>SUM(K88:K93)</f>
        <v>0</v>
      </c>
      <c r="L94" s="318"/>
      <c r="M94" s="317">
        <f>SUM(M88:M93)</f>
        <v>0</v>
      </c>
      <c r="N94" s="318"/>
      <c r="O94" s="317">
        <f>SUM(O88:O93)</f>
        <v>0</v>
      </c>
      <c r="P94" s="318"/>
      <c r="Q94" s="317">
        <f>SUM(Q88:Q93)</f>
        <v>0</v>
      </c>
      <c r="R94" s="318"/>
      <c r="S94" s="317">
        <f>SUM(S88:S93)</f>
        <v>0</v>
      </c>
      <c r="T94" s="318"/>
      <c r="U94" s="317">
        <f>SUM(U88:U93)</f>
        <v>0</v>
      </c>
      <c r="V94" s="318"/>
      <c r="W94" s="317">
        <f>SUM(W88:W93)</f>
        <v>0</v>
      </c>
      <c r="X94" s="318"/>
      <c r="Y94" s="317">
        <f>SUM(Y88:Y93)</f>
        <v>0</v>
      </c>
      <c r="Z94" s="318"/>
      <c r="AA94" s="317">
        <f>SUM(AA88:AA93)</f>
        <v>0</v>
      </c>
      <c r="AB94" s="318"/>
      <c r="AC94" s="317">
        <f>SUM(AC88:AC93)</f>
        <v>0</v>
      </c>
      <c r="AD94" s="318"/>
      <c r="AE94" s="317">
        <f>SUM(AE88:AE93)</f>
        <v>1795000</v>
      </c>
      <c r="AF94" s="318"/>
      <c r="AG94" s="317">
        <f>SUM(AG88:AG93)</f>
        <v>0</v>
      </c>
      <c r="AH94" s="318"/>
      <c r="AI94" s="317">
        <f>SUM(AI88:AI93)</f>
        <v>0</v>
      </c>
      <c r="AJ94" s="318"/>
      <c r="AK94" s="317">
        <f>SUM(AK88:AK93)</f>
        <v>0</v>
      </c>
      <c r="AL94" s="318"/>
      <c r="AM94" s="317">
        <f>SUM(AM88:AM93)</f>
        <v>0</v>
      </c>
      <c r="AN94" s="318"/>
      <c r="AO94" s="317">
        <f>SUM(AO88:AO93)</f>
        <v>6326716</v>
      </c>
      <c r="AP94" s="297"/>
      <c r="AQ94" s="262"/>
    </row>
    <row r="95" spans="1:43" s="312" customFormat="1" ht="18.75" x14ac:dyDescent="0.3">
      <c r="A95" s="297"/>
      <c r="B95" s="298"/>
      <c r="C95" s="309"/>
      <c r="D95" s="310"/>
      <c r="E95" s="311"/>
      <c r="F95" s="319"/>
      <c r="G95" s="311"/>
      <c r="H95" s="319"/>
      <c r="I95" s="311"/>
      <c r="J95" s="319"/>
      <c r="K95" s="311"/>
      <c r="L95" s="319"/>
      <c r="M95" s="311"/>
      <c r="N95" s="319"/>
      <c r="O95" s="311"/>
      <c r="P95" s="319"/>
      <c r="Q95" s="311"/>
      <c r="R95" s="319"/>
      <c r="S95" s="311"/>
      <c r="T95" s="319"/>
      <c r="U95" s="311"/>
      <c r="V95" s="319"/>
      <c r="W95" s="311"/>
      <c r="X95" s="319"/>
      <c r="Y95" s="311"/>
      <c r="Z95" s="319"/>
      <c r="AA95" s="311"/>
      <c r="AB95" s="319"/>
      <c r="AC95" s="311"/>
      <c r="AD95" s="319"/>
      <c r="AE95" s="311"/>
      <c r="AF95" s="319"/>
      <c r="AG95" s="311"/>
      <c r="AH95" s="319"/>
      <c r="AI95" s="311"/>
      <c r="AJ95" s="319"/>
      <c r="AK95" s="311"/>
      <c r="AL95" s="319"/>
      <c r="AM95" s="311"/>
      <c r="AN95" s="319"/>
      <c r="AO95" s="311"/>
      <c r="AP95" s="297"/>
      <c r="AQ95" s="262"/>
    </row>
    <row r="96" spans="1:43" s="312" customFormat="1" ht="18.75" x14ac:dyDescent="0.3">
      <c r="A96" s="297"/>
      <c r="B96" s="298" t="s">
        <v>120</v>
      </c>
      <c r="C96" s="309"/>
      <c r="D96" s="310"/>
      <c r="E96" s="311"/>
      <c r="F96" s="319"/>
      <c r="G96" s="311"/>
      <c r="H96" s="319"/>
      <c r="I96" s="311"/>
      <c r="J96" s="319"/>
      <c r="K96" s="311"/>
      <c r="L96" s="319"/>
      <c r="M96" s="311"/>
      <c r="N96" s="319"/>
      <c r="O96" s="311"/>
      <c r="P96" s="319"/>
      <c r="Q96" s="311"/>
      <c r="R96" s="319"/>
      <c r="S96" s="311"/>
      <c r="T96" s="319"/>
      <c r="U96" s="311"/>
      <c r="V96" s="319"/>
      <c r="W96" s="311"/>
      <c r="X96" s="319"/>
      <c r="Y96" s="311"/>
      <c r="Z96" s="319"/>
      <c r="AA96" s="311"/>
      <c r="AB96" s="319"/>
      <c r="AC96" s="311"/>
      <c r="AD96" s="319"/>
      <c r="AE96" s="311"/>
      <c r="AF96" s="319"/>
      <c r="AG96" s="311"/>
      <c r="AH96" s="319"/>
      <c r="AI96" s="311"/>
      <c r="AJ96" s="319"/>
      <c r="AK96" s="311"/>
      <c r="AL96" s="319"/>
      <c r="AM96" s="311"/>
      <c r="AN96" s="319"/>
      <c r="AO96" s="311"/>
      <c r="AP96" s="297"/>
      <c r="AQ96" s="262"/>
    </row>
    <row r="97" spans="1:43" s="312" customFormat="1" ht="18.75" x14ac:dyDescent="0.3">
      <c r="A97" s="297"/>
      <c r="B97" s="298" t="s">
        <v>467</v>
      </c>
      <c r="C97" s="326" t="s">
        <v>108</v>
      </c>
      <c r="D97" s="310"/>
      <c r="E97" s="299">
        <v>517641</v>
      </c>
      <c r="F97" s="300"/>
      <c r="G97" s="299">
        <v>0</v>
      </c>
      <c r="H97" s="300"/>
      <c r="I97" s="299">
        <v>0</v>
      </c>
      <c r="J97" s="300"/>
      <c r="K97" s="313">
        <v>0</v>
      </c>
      <c r="L97" s="300"/>
      <c r="M97" s="299">
        <v>0</v>
      </c>
      <c r="N97" s="300"/>
      <c r="O97" s="313">
        <v>0</v>
      </c>
      <c r="P97" s="300"/>
      <c r="Q97" s="299">
        <v>0</v>
      </c>
      <c r="R97" s="300"/>
      <c r="S97" s="299">
        <v>0</v>
      </c>
      <c r="T97" s="300"/>
      <c r="U97" s="299">
        <v>0</v>
      </c>
      <c r="V97" s="300"/>
      <c r="W97" s="313">
        <v>0</v>
      </c>
      <c r="X97" s="300"/>
      <c r="Y97" s="313">
        <v>0</v>
      </c>
      <c r="Z97" s="300"/>
      <c r="AA97" s="299">
        <v>0</v>
      </c>
      <c r="AB97" s="300"/>
      <c r="AC97" s="299">
        <v>0</v>
      </c>
      <c r="AD97" s="300"/>
      <c r="AE97" s="299">
        <v>0</v>
      </c>
      <c r="AF97" s="300"/>
      <c r="AG97" s="299">
        <v>0</v>
      </c>
      <c r="AH97" s="300"/>
      <c r="AI97" s="299">
        <v>0</v>
      </c>
      <c r="AJ97" s="300"/>
      <c r="AK97" s="299">
        <v>0</v>
      </c>
      <c r="AL97" s="300"/>
      <c r="AM97" s="299">
        <v>0</v>
      </c>
      <c r="AN97" s="300"/>
      <c r="AO97" s="311">
        <f t="shared" ref="AO97:AO102" si="17">E97+K97+G97+I97+M97+O97+Q97+S97+U97+W97+Y97+AA97+AC97+AE97+AG97+AI97+AK97+AM97</f>
        <v>517641</v>
      </c>
      <c r="AP97" s="297"/>
      <c r="AQ97" s="262"/>
    </row>
    <row r="98" spans="1:43" s="312" customFormat="1" ht="18.75" x14ac:dyDescent="0.3">
      <c r="A98" s="297"/>
      <c r="B98" s="298" t="s">
        <v>469</v>
      </c>
      <c r="C98" s="326" t="s">
        <v>109</v>
      </c>
      <c r="D98" s="310"/>
      <c r="E98" s="299">
        <v>169401</v>
      </c>
      <c r="F98" s="300"/>
      <c r="G98" s="299">
        <v>0</v>
      </c>
      <c r="H98" s="300"/>
      <c r="I98" s="299">
        <v>0</v>
      </c>
      <c r="J98" s="300"/>
      <c r="K98" s="313">
        <v>0</v>
      </c>
      <c r="L98" s="300"/>
      <c r="M98" s="299">
        <v>0</v>
      </c>
      <c r="N98" s="300"/>
      <c r="O98" s="313">
        <v>0</v>
      </c>
      <c r="P98" s="300"/>
      <c r="Q98" s="299">
        <v>0</v>
      </c>
      <c r="R98" s="300"/>
      <c r="S98" s="299">
        <v>0</v>
      </c>
      <c r="T98" s="300"/>
      <c r="U98" s="299">
        <v>0</v>
      </c>
      <c r="V98" s="300"/>
      <c r="W98" s="313">
        <v>0</v>
      </c>
      <c r="X98" s="300"/>
      <c r="Y98" s="313">
        <v>0</v>
      </c>
      <c r="Z98" s="300"/>
      <c r="AA98" s="299">
        <v>0</v>
      </c>
      <c r="AB98" s="300"/>
      <c r="AC98" s="299">
        <v>0</v>
      </c>
      <c r="AD98" s="300"/>
      <c r="AE98" s="299">
        <v>0</v>
      </c>
      <c r="AF98" s="300"/>
      <c r="AG98" s="299">
        <v>0</v>
      </c>
      <c r="AH98" s="300"/>
      <c r="AI98" s="299">
        <v>0</v>
      </c>
      <c r="AJ98" s="300"/>
      <c r="AK98" s="299">
        <v>0</v>
      </c>
      <c r="AL98" s="300"/>
      <c r="AM98" s="299">
        <v>0</v>
      </c>
      <c r="AN98" s="300"/>
      <c r="AO98" s="311">
        <f t="shared" si="17"/>
        <v>169401</v>
      </c>
      <c r="AP98" s="297"/>
      <c r="AQ98" s="262"/>
    </row>
    <row r="99" spans="1:43" s="312" customFormat="1" ht="37.5" x14ac:dyDescent="0.3">
      <c r="A99" s="297"/>
      <c r="B99" s="298" t="s">
        <v>470</v>
      </c>
      <c r="C99" s="326" t="s">
        <v>111</v>
      </c>
      <c r="D99" s="310"/>
      <c r="E99" s="299">
        <v>105050</v>
      </c>
      <c r="F99" s="300"/>
      <c r="G99" s="299">
        <v>29088</v>
      </c>
      <c r="H99" s="300"/>
      <c r="I99" s="299">
        <v>0</v>
      </c>
      <c r="J99" s="300"/>
      <c r="K99" s="313">
        <v>0</v>
      </c>
      <c r="L99" s="300"/>
      <c r="M99" s="299">
        <v>0</v>
      </c>
      <c r="N99" s="300"/>
      <c r="O99" s="313">
        <v>0</v>
      </c>
      <c r="P99" s="300"/>
      <c r="Q99" s="299">
        <v>0</v>
      </c>
      <c r="R99" s="300"/>
      <c r="S99" s="299">
        <v>0</v>
      </c>
      <c r="T99" s="300"/>
      <c r="U99" s="299">
        <v>0</v>
      </c>
      <c r="V99" s="300"/>
      <c r="W99" s="313">
        <v>0</v>
      </c>
      <c r="X99" s="300"/>
      <c r="Y99" s="313">
        <v>0</v>
      </c>
      <c r="Z99" s="300"/>
      <c r="AA99" s="299">
        <v>0</v>
      </c>
      <c r="AB99" s="300"/>
      <c r="AC99" s="299">
        <v>0</v>
      </c>
      <c r="AD99" s="300"/>
      <c r="AE99" s="299">
        <v>0</v>
      </c>
      <c r="AF99" s="300"/>
      <c r="AG99" s="299">
        <v>0</v>
      </c>
      <c r="AH99" s="300"/>
      <c r="AI99" s="299">
        <v>0</v>
      </c>
      <c r="AJ99" s="300"/>
      <c r="AK99" s="299">
        <v>0</v>
      </c>
      <c r="AL99" s="300"/>
      <c r="AM99" s="299">
        <v>0</v>
      </c>
      <c r="AN99" s="300"/>
      <c r="AO99" s="311">
        <f t="shared" si="17"/>
        <v>134138</v>
      </c>
      <c r="AP99" s="297"/>
      <c r="AQ99" s="262"/>
    </row>
    <row r="100" spans="1:43" s="312" customFormat="1" ht="18.75" x14ac:dyDescent="0.3">
      <c r="A100" s="297"/>
      <c r="B100" s="298" t="s">
        <v>471</v>
      </c>
      <c r="C100" s="326" t="s">
        <v>112</v>
      </c>
      <c r="D100" s="310"/>
      <c r="E100" s="299">
        <v>123820</v>
      </c>
      <c r="F100" s="300"/>
      <c r="G100" s="299">
        <v>0</v>
      </c>
      <c r="H100" s="300"/>
      <c r="I100" s="299">
        <v>0</v>
      </c>
      <c r="J100" s="300"/>
      <c r="K100" s="313">
        <v>0</v>
      </c>
      <c r="L100" s="300"/>
      <c r="M100" s="299">
        <v>0</v>
      </c>
      <c r="N100" s="300"/>
      <c r="O100" s="313">
        <v>0</v>
      </c>
      <c r="P100" s="300"/>
      <c r="Q100" s="299">
        <v>0</v>
      </c>
      <c r="R100" s="300"/>
      <c r="S100" s="299">
        <v>0</v>
      </c>
      <c r="T100" s="300"/>
      <c r="U100" s="299">
        <v>0</v>
      </c>
      <c r="V100" s="300"/>
      <c r="W100" s="313">
        <v>0</v>
      </c>
      <c r="X100" s="300"/>
      <c r="Y100" s="313">
        <v>0</v>
      </c>
      <c r="Z100" s="300"/>
      <c r="AA100" s="299">
        <v>0</v>
      </c>
      <c r="AB100" s="300"/>
      <c r="AC100" s="299">
        <v>0</v>
      </c>
      <c r="AD100" s="300"/>
      <c r="AE100" s="299">
        <v>0</v>
      </c>
      <c r="AF100" s="300"/>
      <c r="AG100" s="299">
        <v>0</v>
      </c>
      <c r="AH100" s="300"/>
      <c r="AI100" s="299">
        <v>0</v>
      </c>
      <c r="AJ100" s="300"/>
      <c r="AK100" s="299">
        <v>0</v>
      </c>
      <c r="AL100" s="300"/>
      <c r="AM100" s="299">
        <v>0</v>
      </c>
      <c r="AN100" s="300"/>
      <c r="AO100" s="311">
        <f t="shared" si="17"/>
        <v>123820</v>
      </c>
      <c r="AP100" s="297"/>
      <c r="AQ100" s="262"/>
    </row>
    <row r="101" spans="1:43" s="312" customFormat="1" ht="18.75" x14ac:dyDescent="0.3">
      <c r="A101" s="297"/>
      <c r="B101" s="298" t="s">
        <v>472</v>
      </c>
      <c r="C101" s="326" t="s">
        <v>113</v>
      </c>
      <c r="D101" s="310"/>
      <c r="E101" s="299">
        <v>5000</v>
      </c>
      <c r="F101" s="300"/>
      <c r="G101" s="299">
        <v>0</v>
      </c>
      <c r="H101" s="300"/>
      <c r="I101" s="299">
        <v>0</v>
      </c>
      <c r="J101" s="300"/>
      <c r="K101" s="313">
        <v>0</v>
      </c>
      <c r="L101" s="300"/>
      <c r="M101" s="299">
        <v>0</v>
      </c>
      <c r="N101" s="300"/>
      <c r="O101" s="313">
        <v>0</v>
      </c>
      <c r="P101" s="300"/>
      <c r="Q101" s="299">
        <v>0</v>
      </c>
      <c r="R101" s="300"/>
      <c r="S101" s="299">
        <v>0</v>
      </c>
      <c r="T101" s="300"/>
      <c r="U101" s="299">
        <v>0</v>
      </c>
      <c r="V101" s="300"/>
      <c r="W101" s="313">
        <v>0</v>
      </c>
      <c r="X101" s="300"/>
      <c r="Y101" s="313">
        <v>0</v>
      </c>
      <c r="Z101" s="300"/>
      <c r="AA101" s="299">
        <v>0</v>
      </c>
      <c r="AB101" s="300"/>
      <c r="AC101" s="299">
        <v>0</v>
      </c>
      <c r="AD101" s="300"/>
      <c r="AE101" s="299">
        <v>150000</v>
      </c>
      <c r="AF101" s="300"/>
      <c r="AG101" s="299">
        <v>0</v>
      </c>
      <c r="AH101" s="300"/>
      <c r="AI101" s="299">
        <v>0</v>
      </c>
      <c r="AJ101" s="300"/>
      <c r="AK101" s="299">
        <v>0</v>
      </c>
      <c r="AL101" s="300"/>
      <c r="AM101" s="299">
        <v>0</v>
      </c>
      <c r="AN101" s="300"/>
      <c r="AO101" s="311">
        <f t="shared" si="17"/>
        <v>155000</v>
      </c>
      <c r="AP101" s="297"/>
      <c r="AQ101" s="262"/>
    </row>
    <row r="102" spans="1:43" s="312" customFormat="1" ht="19.5" thickBot="1" x14ac:dyDescent="0.35">
      <c r="A102" s="297"/>
      <c r="B102" s="298" t="s">
        <v>473</v>
      </c>
      <c r="C102" s="326" t="s">
        <v>114</v>
      </c>
      <c r="D102" s="310"/>
      <c r="E102" s="299">
        <v>0</v>
      </c>
      <c r="F102" s="300"/>
      <c r="G102" s="299">
        <v>0</v>
      </c>
      <c r="H102" s="300"/>
      <c r="I102" s="299">
        <v>0</v>
      </c>
      <c r="J102" s="300"/>
      <c r="K102" s="313">
        <v>0</v>
      </c>
      <c r="L102" s="300"/>
      <c r="M102" s="299">
        <v>0</v>
      </c>
      <c r="N102" s="300"/>
      <c r="O102" s="313">
        <v>0</v>
      </c>
      <c r="P102" s="300"/>
      <c r="Q102" s="299">
        <v>0</v>
      </c>
      <c r="R102" s="300"/>
      <c r="S102" s="299">
        <v>0</v>
      </c>
      <c r="T102" s="300"/>
      <c r="U102" s="299">
        <v>0</v>
      </c>
      <c r="V102" s="300"/>
      <c r="W102" s="313">
        <v>0</v>
      </c>
      <c r="X102" s="300"/>
      <c r="Y102" s="313">
        <v>0</v>
      </c>
      <c r="Z102" s="300"/>
      <c r="AA102" s="299">
        <v>0</v>
      </c>
      <c r="AB102" s="300"/>
      <c r="AC102" s="299">
        <v>0</v>
      </c>
      <c r="AD102" s="300"/>
      <c r="AE102" s="299">
        <v>0</v>
      </c>
      <c r="AF102" s="300"/>
      <c r="AG102" s="299">
        <v>0</v>
      </c>
      <c r="AH102" s="300"/>
      <c r="AI102" s="299">
        <v>0</v>
      </c>
      <c r="AJ102" s="300"/>
      <c r="AK102" s="299">
        <v>0</v>
      </c>
      <c r="AL102" s="300"/>
      <c r="AM102" s="299">
        <v>0</v>
      </c>
      <c r="AN102" s="300"/>
      <c r="AO102" s="311">
        <f t="shared" si="17"/>
        <v>0</v>
      </c>
      <c r="AP102" s="297"/>
      <c r="AQ102" s="262"/>
    </row>
    <row r="103" spans="1:43" s="312" customFormat="1" ht="19.5" thickBot="1" x14ac:dyDescent="0.35">
      <c r="A103" s="297"/>
      <c r="B103" s="314" t="s">
        <v>484</v>
      </c>
      <c r="C103" s="315"/>
      <c r="D103" s="316"/>
      <c r="E103" s="317">
        <f>SUM(E97:E102)</f>
        <v>920912</v>
      </c>
      <c r="F103" s="318"/>
      <c r="G103" s="317">
        <f>SUM(G97:G102)</f>
        <v>29088</v>
      </c>
      <c r="H103" s="318"/>
      <c r="I103" s="317">
        <f>SUM(I97:I102)</f>
        <v>0</v>
      </c>
      <c r="J103" s="318"/>
      <c r="K103" s="317">
        <f>SUM(K97:K102)</f>
        <v>0</v>
      </c>
      <c r="L103" s="318"/>
      <c r="M103" s="317">
        <f>SUM(M97:M102)</f>
        <v>0</v>
      </c>
      <c r="N103" s="318"/>
      <c r="O103" s="317">
        <f>SUM(O97:O102)</f>
        <v>0</v>
      </c>
      <c r="P103" s="318"/>
      <c r="Q103" s="317">
        <f>SUM(Q97:Q102)</f>
        <v>0</v>
      </c>
      <c r="R103" s="318"/>
      <c r="S103" s="317">
        <f>SUM(S97:S102)</f>
        <v>0</v>
      </c>
      <c r="T103" s="318"/>
      <c r="U103" s="317">
        <f>SUM(U97:U102)</f>
        <v>0</v>
      </c>
      <c r="V103" s="318"/>
      <c r="W103" s="317">
        <f>SUM(W97:W102)</f>
        <v>0</v>
      </c>
      <c r="X103" s="318"/>
      <c r="Y103" s="317">
        <f>SUM(Y97:Y102)</f>
        <v>0</v>
      </c>
      <c r="Z103" s="318"/>
      <c r="AA103" s="317">
        <f>SUM(AA97:AA102)</f>
        <v>0</v>
      </c>
      <c r="AB103" s="318"/>
      <c r="AC103" s="317">
        <f>SUM(AC97:AC102)</f>
        <v>0</v>
      </c>
      <c r="AD103" s="318"/>
      <c r="AE103" s="317">
        <f>SUM(AE97:AE102)</f>
        <v>150000</v>
      </c>
      <c r="AF103" s="318"/>
      <c r="AG103" s="317">
        <f>SUM(AG97:AG102)</f>
        <v>0</v>
      </c>
      <c r="AH103" s="318"/>
      <c r="AI103" s="317">
        <f>SUM(AI97:AI102)</f>
        <v>0</v>
      </c>
      <c r="AJ103" s="318"/>
      <c r="AK103" s="317">
        <f>SUM(AK97:AK102)</f>
        <v>0</v>
      </c>
      <c r="AL103" s="318"/>
      <c r="AM103" s="317">
        <f>SUM(AM97:AM102)</f>
        <v>0</v>
      </c>
      <c r="AN103" s="318"/>
      <c r="AO103" s="317">
        <f>SUM(AO97:AO102)</f>
        <v>1100000</v>
      </c>
      <c r="AP103" s="297"/>
      <c r="AQ103" s="262"/>
    </row>
    <row r="104" spans="1:43" s="312" customFormat="1" ht="18.75" x14ac:dyDescent="0.3">
      <c r="A104" s="297"/>
      <c r="B104" s="298"/>
      <c r="C104" s="309"/>
      <c r="D104" s="310"/>
      <c r="E104" s="311"/>
      <c r="F104" s="319"/>
      <c r="G104" s="311"/>
      <c r="H104" s="319"/>
      <c r="I104" s="311"/>
      <c r="J104" s="319"/>
      <c r="K104" s="311"/>
      <c r="L104" s="319"/>
      <c r="M104" s="311"/>
      <c r="N104" s="319"/>
      <c r="O104" s="311"/>
      <c r="P104" s="319"/>
      <c r="Q104" s="311"/>
      <c r="R104" s="319"/>
      <c r="S104" s="311"/>
      <c r="T104" s="319"/>
      <c r="U104" s="311"/>
      <c r="V104" s="319"/>
      <c r="W104" s="311"/>
      <c r="X104" s="319"/>
      <c r="Y104" s="311"/>
      <c r="Z104" s="319"/>
      <c r="AA104" s="311"/>
      <c r="AB104" s="319"/>
      <c r="AC104" s="311"/>
      <c r="AD104" s="319"/>
      <c r="AE104" s="311"/>
      <c r="AF104" s="319"/>
      <c r="AG104" s="311"/>
      <c r="AH104" s="319"/>
      <c r="AI104" s="311"/>
      <c r="AJ104" s="319"/>
      <c r="AK104" s="311"/>
      <c r="AL104" s="319"/>
      <c r="AM104" s="311"/>
      <c r="AN104" s="319"/>
      <c r="AO104" s="311"/>
      <c r="AP104" s="297"/>
      <c r="AQ104" s="262"/>
    </row>
    <row r="105" spans="1:43" s="312" customFormat="1" ht="37.5" x14ac:dyDescent="0.3">
      <c r="A105" s="297"/>
      <c r="B105" s="298" t="s">
        <v>485</v>
      </c>
      <c r="C105" s="309"/>
      <c r="D105" s="310"/>
      <c r="E105" s="311"/>
      <c r="F105" s="319"/>
      <c r="G105" s="311"/>
      <c r="H105" s="319"/>
      <c r="I105" s="311"/>
      <c r="J105" s="319"/>
      <c r="K105" s="311"/>
      <c r="L105" s="319"/>
      <c r="M105" s="311"/>
      <c r="N105" s="319"/>
      <c r="O105" s="311"/>
      <c r="P105" s="319"/>
      <c r="Q105" s="311"/>
      <c r="R105" s="319"/>
      <c r="S105" s="311"/>
      <c r="T105" s="319"/>
      <c r="U105" s="311"/>
      <c r="V105" s="319"/>
      <c r="W105" s="311"/>
      <c r="X105" s="319"/>
      <c r="Y105" s="311"/>
      <c r="Z105" s="319"/>
      <c r="AA105" s="311"/>
      <c r="AB105" s="319"/>
      <c r="AC105" s="311"/>
      <c r="AD105" s="319"/>
      <c r="AE105" s="311"/>
      <c r="AF105" s="319"/>
      <c r="AG105" s="311"/>
      <c r="AH105" s="319"/>
      <c r="AI105" s="311"/>
      <c r="AJ105" s="319"/>
      <c r="AK105" s="311"/>
      <c r="AL105" s="319"/>
      <c r="AM105" s="311"/>
      <c r="AN105" s="319"/>
      <c r="AO105" s="311"/>
      <c r="AP105" s="297"/>
      <c r="AQ105" s="262"/>
    </row>
    <row r="106" spans="1:43" s="312" customFormat="1" ht="18.75" x14ac:dyDescent="0.3">
      <c r="A106" s="297"/>
      <c r="B106" s="298" t="s">
        <v>467</v>
      </c>
      <c r="C106" s="326" t="s">
        <v>108</v>
      </c>
      <c r="D106" s="310"/>
      <c r="E106" s="299">
        <v>549382</v>
      </c>
      <c r="F106" s="300"/>
      <c r="G106" s="299">
        <v>0</v>
      </c>
      <c r="H106" s="300"/>
      <c r="I106" s="299">
        <v>0</v>
      </c>
      <c r="J106" s="300"/>
      <c r="K106" s="313">
        <v>0</v>
      </c>
      <c r="L106" s="300"/>
      <c r="M106" s="299">
        <v>0</v>
      </c>
      <c r="N106" s="300"/>
      <c r="O106" s="313">
        <v>0</v>
      </c>
      <c r="P106" s="300"/>
      <c r="Q106" s="299">
        <v>0</v>
      </c>
      <c r="R106" s="300"/>
      <c r="S106" s="299">
        <v>0</v>
      </c>
      <c r="T106" s="300"/>
      <c r="U106" s="299">
        <v>0</v>
      </c>
      <c r="V106" s="300"/>
      <c r="W106" s="299">
        <v>0</v>
      </c>
      <c r="X106" s="300"/>
      <c r="Y106" s="313">
        <v>0</v>
      </c>
      <c r="Z106" s="300"/>
      <c r="AA106" s="299">
        <v>0</v>
      </c>
      <c r="AB106" s="300"/>
      <c r="AC106" s="299">
        <v>0</v>
      </c>
      <c r="AD106" s="300"/>
      <c r="AE106" s="299">
        <v>0</v>
      </c>
      <c r="AF106" s="300"/>
      <c r="AG106" s="313">
        <v>0</v>
      </c>
      <c r="AH106" s="300"/>
      <c r="AI106" s="299">
        <v>0</v>
      </c>
      <c r="AJ106" s="300"/>
      <c r="AK106" s="299">
        <v>0</v>
      </c>
      <c r="AL106" s="300"/>
      <c r="AM106" s="299">
        <v>0</v>
      </c>
      <c r="AN106" s="300"/>
      <c r="AO106" s="311">
        <f t="shared" ref="AO106:AO111" si="18">E106+K106+G106+I106+M106+O106+Q106+S106+U106+W106+Y106+AA106+AC106+AE106+AG106+AI106+AK106+AM106</f>
        <v>549382</v>
      </c>
      <c r="AP106" s="297"/>
      <c r="AQ106" s="262"/>
    </row>
    <row r="107" spans="1:43" s="312" customFormat="1" ht="18.75" x14ac:dyDescent="0.3">
      <c r="A107" s="297"/>
      <c r="B107" s="298" t="s">
        <v>469</v>
      </c>
      <c r="C107" s="326" t="s">
        <v>109</v>
      </c>
      <c r="D107" s="310"/>
      <c r="E107" s="299">
        <v>186878</v>
      </c>
      <c r="F107" s="300"/>
      <c r="G107" s="299">
        <v>0</v>
      </c>
      <c r="H107" s="300"/>
      <c r="I107" s="299">
        <v>0</v>
      </c>
      <c r="J107" s="300"/>
      <c r="K107" s="313">
        <v>0</v>
      </c>
      <c r="L107" s="300"/>
      <c r="M107" s="299">
        <v>0</v>
      </c>
      <c r="N107" s="300"/>
      <c r="O107" s="313">
        <v>0</v>
      </c>
      <c r="P107" s="300"/>
      <c r="Q107" s="299">
        <v>0</v>
      </c>
      <c r="R107" s="300"/>
      <c r="S107" s="299">
        <v>0</v>
      </c>
      <c r="T107" s="300"/>
      <c r="U107" s="299">
        <v>0</v>
      </c>
      <c r="V107" s="300"/>
      <c r="W107" s="299">
        <v>0</v>
      </c>
      <c r="X107" s="300"/>
      <c r="Y107" s="313">
        <v>0</v>
      </c>
      <c r="Z107" s="300"/>
      <c r="AA107" s="299">
        <v>0</v>
      </c>
      <c r="AB107" s="300"/>
      <c r="AC107" s="299">
        <v>0</v>
      </c>
      <c r="AD107" s="300"/>
      <c r="AE107" s="299">
        <v>0</v>
      </c>
      <c r="AF107" s="300"/>
      <c r="AG107" s="313">
        <v>0</v>
      </c>
      <c r="AH107" s="300"/>
      <c r="AI107" s="299">
        <v>0</v>
      </c>
      <c r="AJ107" s="300"/>
      <c r="AK107" s="299">
        <v>0</v>
      </c>
      <c r="AL107" s="300"/>
      <c r="AM107" s="299">
        <v>0</v>
      </c>
      <c r="AN107" s="300"/>
      <c r="AO107" s="311">
        <f t="shared" si="18"/>
        <v>186878</v>
      </c>
      <c r="AP107" s="297"/>
      <c r="AQ107" s="262"/>
    </row>
    <row r="108" spans="1:43" s="312" customFormat="1" ht="37.5" x14ac:dyDescent="0.3">
      <c r="A108" s="297"/>
      <c r="B108" s="298" t="s">
        <v>470</v>
      </c>
      <c r="C108" s="326" t="s">
        <v>486</v>
      </c>
      <c r="D108" s="310"/>
      <c r="E108" s="299">
        <v>0</v>
      </c>
      <c r="F108" s="300"/>
      <c r="G108" s="299">
        <v>99179</v>
      </c>
      <c r="H108" s="300"/>
      <c r="I108" s="299">
        <v>0</v>
      </c>
      <c r="J108" s="300"/>
      <c r="K108" s="313">
        <v>0</v>
      </c>
      <c r="L108" s="300"/>
      <c r="M108" s="299">
        <v>0</v>
      </c>
      <c r="N108" s="300"/>
      <c r="O108" s="313">
        <v>0</v>
      </c>
      <c r="P108" s="300"/>
      <c r="Q108" s="299">
        <v>0</v>
      </c>
      <c r="R108" s="300"/>
      <c r="S108" s="299">
        <v>0</v>
      </c>
      <c r="T108" s="300"/>
      <c r="U108" s="299">
        <v>0</v>
      </c>
      <c r="V108" s="300"/>
      <c r="W108" s="299">
        <v>0</v>
      </c>
      <c r="X108" s="300"/>
      <c r="Y108" s="313">
        <v>0</v>
      </c>
      <c r="Z108" s="300"/>
      <c r="AA108" s="299">
        <v>0</v>
      </c>
      <c r="AB108" s="300"/>
      <c r="AC108" s="299">
        <v>0</v>
      </c>
      <c r="AD108" s="300"/>
      <c r="AE108" s="299">
        <v>0</v>
      </c>
      <c r="AF108" s="300"/>
      <c r="AG108" s="313">
        <v>0</v>
      </c>
      <c r="AH108" s="300"/>
      <c r="AI108" s="299">
        <v>0</v>
      </c>
      <c r="AJ108" s="300"/>
      <c r="AK108" s="299">
        <v>0</v>
      </c>
      <c r="AL108" s="300"/>
      <c r="AM108" s="299">
        <v>0</v>
      </c>
      <c r="AN108" s="300"/>
      <c r="AO108" s="311">
        <f t="shared" si="18"/>
        <v>99179</v>
      </c>
      <c r="AP108" s="297"/>
      <c r="AQ108" s="262"/>
    </row>
    <row r="109" spans="1:43" s="312" customFormat="1" ht="18.75" x14ac:dyDescent="0.3">
      <c r="A109" s="297"/>
      <c r="B109" s="298" t="s">
        <v>471</v>
      </c>
      <c r="C109" s="326" t="s">
        <v>112</v>
      </c>
      <c r="D109" s="310"/>
      <c r="E109" s="299">
        <v>0</v>
      </c>
      <c r="F109" s="300"/>
      <c r="G109" s="299">
        <v>0</v>
      </c>
      <c r="H109" s="300"/>
      <c r="I109" s="299">
        <v>0</v>
      </c>
      <c r="J109" s="300"/>
      <c r="K109" s="313">
        <v>0</v>
      </c>
      <c r="L109" s="300"/>
      <c r="M109" s="299">
        <v>0</v>
      </c>
      <c r="N109" s="300"/>
      <c r="O109" s="313">
        <v>0</v>
      </c>
      <c r="P109" s="300"/>
      <c r="Q109" s="299">
        <v>0</v>
      </c>
      <c r="R109" s="300"/>
      <c r="S109" s="299">
        <v>0</v>
      </c>
      <c r="T109" s="300"/>
      <c r="U109" s="299">
        <v>0</v>
      </c>
      <c r="V109" s="300"/>
      <c r="W109" s="299">
        <v>0</v>
      </c>
      <c r="X109" s="300"/>
      <c r="Y109" s="313">
        <v>0</v>
      </c>
      <c r="Z109" s="300"/>
      <c r="AA109" s="299">
        <v>0</v>
      </c>
      <c r="AB109" s="300"/>
      <c r="AC109" s="299">
        <v>0</v>
      </c>
      <c r="AD109" s="300"/>
      <c r="AE109" s="299">
        <v>0</v>
      </c>
      <c r="AF109" s="300"/>
      <c r="AG109" s="313">
        <v>0</v>
      </c>
      <c r="AH109" s="300"/>
      <c r="AI109" s="299">
        <v>0</v>
      </c>
      <c r="AJ109" s="300"/>
      <c r="AK109" s="299">
        <v>0</v>
      </c>
      <c r="AL109" s="300"/>
      <c r="AM109" s="299">
        <v>0</v>
      </c>
      <c r="AN109" s="300"/>
      <c r="AO109" s="311">
        <f t="shared" si="18"/>
        <v>0</v>
      </c>
      <c r="AP109" s="297"/>
      <c r="AQ109" s="262"/>
    </row>
    <row r="110" spans="1:43" s="312" customFormat="1" ht="18.75" x14ac:dyDescent="0.3">
      <c r="A110" s="297"/>
      <c r="B110" s="298" t="s">
        <v>472</v>
      </c>
      <c r="C110" s="326" t="s">
        <v>113</v>
      </c>
      <c r="D110" s="310"/>
      <c r="E110" s="299">
        <v>0</v>
      </c>
      <c r="F110" s="300"/>
      <c r="G110" s="299">
        <v>0</v>
      </c>
      <c r="H110" s="300"/>
      <c r="I110" s="299">
        <v>0</v>
      </c>
      <c r="J110" s="300"/>
      <c r="K110" s="313">
        <v>0</v>
      </c>
      <c r="L110" s="300"/>
      <c r="M110" s="299">
        <v>0</v>
      </c>
      <c r="N110" s="300"/>
      <c r="O110" s="313">
        <v>0</v>
      </c>
      <c r="P110" s="300"/>
      <c r="Q110" s="299">
        <v>0</v>
      </c>
      <c r="R110" s="300"/>
      <c r="S110" s="299">
        <v>0</v>
      </c>
      <c r="T110" s="300"/>
      <c r="U110" s="299">
        <v>0</v>
      </c>
      <c r="V110" s="300"/>
      <c r="W110" s="299">
        <v>298882</v>
      </c>
      <c r="X110" s="300"/>
      <c r="Y110" s="313">
        <v>0</v>
      </c>
      <c r="Z110" s="300"/>
      <c r="AA110" s="299">
        <v>0</v>
      </c>
      <c r="AB110" s="300"/>
      <c r="AC110" s="299">
        <v>0</v>
      </c>
      <c r="AD110" s="300"/>
      <c r="AE110" s="299">
        <v>0</v>
      </c>
      <c r="AF110" s="300"/>
      <c r="AG110" s="313">
        <v>0</v>
      </c>
      <c r="AH110" s="300"/>
      <c r="AI110" s="299">
        <v>0</v>
      </c>
      <c r="AJ110" s="300"/>
      <c r="AK110" s="299">
        <v>0</v>
      </c>
      <c r="AL110" s="300"/>
      <c r="AM110" s="299">
        <v>0</v>
      </c>
      <c r="AN110" s="300"/>
      <c r="AO110" s="311">
        <f t="shared" si="18"/>
        <v>298882</v>
      </c>
      <c r="AP110" s="297"/>
      <c r="AQ110" s="262"/>
    </row>
    <row r="111" spans="1:43" s="312" customFormat="1" ht="19.5" thickBot="1" x14ac:dyDescent="0.35">
      <c r="A111" s="297"/>
      <c r="B111" s="298" t="s">
        <v>473</v>
      </c>
      <c r="C111" s="326" t="s">
        <v>114</v>
      </c>
      <c r="D111" s="310"/>
      <c r="E111" s="299">
        <v>0</v>
      </c>
      <c r="F111" s="300"/>
      <c r="G111" s="299">
        <v>0</v>
      </c>
      <c r="H111" s="300"/>
      <c r="I111" s="299">
        <v>0</v>
      </c>
      <c r="J111" s="300"/>
      <c r="K111" s="313">
        <v>0</v>
      </c>
      <c r="L111" s="300"/>
      <c r="M111" s="299">
        <v>0</v>
      </c>
      <c r="N111" s="300"/>
      <c r="O111" s="313">
        <v>0</v>
      </c>
      <c r="P111" s="300"/>
      <c r="Q111" s="299">
        <v>0</v>
      </c>
      <c r="R111" s="300"/>
      <c r="S111" s="299">
        <v>0</v>
      </c>
      <c r="T111" s="300"/>
      <c r="U111" s="299">
        <v>0</v>
      </c>
      <c r="V111" s="300"/>
      <c r="W111" s="299">
        <v>0</v>
      </c>
      <c r="X111" s="300"/>
      <c r="Y111" s="313">
        <v>0</v>
      </c>
      <c r="Z111" s="300"/>
      <c r="AA111" s="299">
        <v>0</v>
      </c>
      <c r="AB111" s="300"/>
      <c r="AC111" s="299">
        <v>0</v>
      </c>
      <c r="AD111" s="300"/>
      <c r="AE111" s="299">
        <v>0</v>
      </c>
      <c r="AF111" s="300"/>
      <c r="AG111" s="313">
        <v>0</v>
      </c>
      <c r="AH111" s="300"/>
      <c r="AI111" s="299">
        <v>0</v>
      </c>
      <c r="AJ111" s="300"/>
      <c r="AK111" s="299">
        <v>0</v>
      </c>
      <c r="AL111" s="300"/>
      <c r="AM111" s="299">
        <v>0</v>
      </c>
      <c r="AN111" s="300"/>
      <c r="AO111" s="311">
        <f t="shared" si="18"/>
        <v>0</v>
      </c>
      <c r="AP111" s="297"/>
      <c r="AQ111" s="262"/>
    </row>
    <row r="112" spans="1:43" s="312" customFormat="1" ht="19.5" thickBot="1" x14ac:dyDescent="0.35">
      <c r="A112" s="297"/>
      <c r="B112" s="314" t="s">
        <v>487</v>
      </c>
      <c r="C112" s="315"/>
      <c r="D112" s="316"/>
      <c r="E112" s="317">
        <f>SUM(E106:E111)</f>
        <v>736260</v>
      </c>
      <c r="F112" s="318"/>
      <c r="G112" s="317">
        <f>SUM(G106:G111)</f>
        <v>99179</v>
      </c>
      <c r="H112" s="318"/>
      <c r="I112" s="317">
        <f>SUM(I106:I111)</f>
        <v>0</v>
      </c>
      <c r="J112" s="318"/>
      <c r="K112" s="317">
        <f>SUM(K106:K111)</f>
        <v>0</v>
      </c>
      <c r="L112" s="318"/>
      <c r="M112" s="317">
        <f>SUM(M106:M111)</f>
        <v>0</v>
      </c>
      <c r="N112" s="318"/>
      <c r="O112" s="317">
        <f>SUM(O106:O111)</f>
        <v>0</v>
      </c>
      <c r="P112" s="318"/>
      <c r="Q112" s="317">
        <f>SUM(Q106:Q111)</f>
        <v>0</v>
      </c>
      <c r="R112" s="318"/>
      <c r="S112" s="317">
        <f>SUM(S106:S111)</f>
        <v>0</v>
      </c>
      <c r="T112" s="318"/>
      <c r="U112" s="317">
        <f>SUM(U106:U111)</f>
        <v>0</v>
      </c>
      <c r="V112" s="318"/>
      <c r="W112" s="317">
        <f>SUM(W106:W111)</f>
        <v>298882</v>
      </c>
      <c r="X112" s="318"/>
      <c r="Y112" s="317">
        <f>SUM(Y106:Y111)</f>
        <v>0</v>
      </c>
      <c r="Z112" s="318"/>
      <c r="AA112" s="317">
        <f>SUM(AA106:AA111)</f>
        <v>0</v>
      </c>
      <c r="AB112" s="318"/>
      <c r="AC112" s="317">
        <f>SUM(AC106:AC111)</f>
        <v>0</v>
      </c>
      <c r="AD112" s="318"/>
      <c r="AE112" s="317">
        <f>SUM(AE106:AE111)</f>
        <v>0</v>
      </c>
      <c r="AF112" s="318"/>
      <c r="AG112" s="317">
        <f>SUM(AG106:AG111)</f>
        <v>0</v>
      </c>
      <c r="AH112" s="318"/>
      <c r="AI112" s="317">
        <f>SUM(AI106:AI111)</f>
        <v>0</v>
      </c>
      <c r="AJ112" s="318"/>
      <c r="AK112" s="317">
        <f>SUM(AK106:AK111)</f>
        <v>0</v>
      </c>
      <c r="AL112" s="318"/>
      <c r="AM112" s="317">
        <f>SUM(AM106:AM111)</f>
        <v>0</v>
      </c>
      <c r="AN112" s="318"/>
      <c r="AO112" s="317">
        <f>SUM(AO106:AO111)</f>
        <v>1134321</v>
      </c>
      <c r="AP112" s="297"/>
      <c r="AQ112" s="262"/>
    </row>
    <row r="113" spans="1:43" s="312" customFormat="1" ht="18.75" x14ac:dyDescent="0.3">
      <c r="A113" s="297"/>
      <c r="B113" s="298"/>
      <c r="C113" s="309"/>
      <c r="D113" s="310"/>
      <c r="E113" s="311"/>
      <c r="F113" s="319"/>
      <c r="G113" s="311"/>
      <c r="H113" s="319"/>
      <c r="I113" s="311"/>
      <c r="J113" s="319"/>
      <c r="K113" s="311"/>
      <c r="L113" s="319"/>
      <c r="M113" s="311"/>
      <c r="N113" s="319"/>
      <c r="O113" s="311"/>
      <c r="P113" s="319"/>
      <c r="Q113" s="311"/>
      <c r="R113" s="319"/>
      <c r="S113" s="311"/>
      <c r="T113" s="319"/>
      <c r="U113" s="311"/>
      <c r="V113" s="319"/>
      <c r="W113" s="311"/>
      <c r="X113" s="319"/>
      <c r="Y113" s="311"/>
      <c r="Z113" s="319"/>
      <c r="AA113" s="311"/>
      <c r="AB113" s="319"/>
      <c r="AC113" s="311"/>
      <c r="AD113" s="319"/>
      <c r="AE113" s="311"/>
      <c r="AF113" s="319"/>
      <c r="AG113" s="311"/>
      <c r="AH113" s="319"/>
      <c r="AI113" s="311"/>
      <c r="AJ113" s="319"/>
      <c r="AK113" s="311"/>
      <c r="AL113" s="319"/>
      <c r="AM113" s="311"/>
      <c r="AN113" s="319"/>
      <c r="AO113" s="311"/>
      <c r="AP113" s="297"/>
      <c r="AQ113" s="262"/>
    </row>
    <row r="114" spans="1:43" s="312" customFormat="1" ht="18.75" x14ac:dyDescent="0.3">
      <c r="A114" s="297"/>
      <c r="B114" s="298" t="s">
        <v>121</v>
      </c>
      <c r="C114" s="309"/>
      <c r="D114" s="310"/>
      <c r="E114" s="311"/>
      <c r="F114" s="319"/>
      <c r="G114" s="311"/>
      <c r="H114" s="319"/>
      <c r="I114" s="311"/>
      <c r="J114" s="319"/>
      <c r="K114" s="311"/>
      <c r="L114" s="319"/>
      <c r="M114" s="311"/>
      <c r="N114" s="319"/>
      <c r="O114" s="311"/>
      <c r="P114" s="319"/>
      <c r="Q114" s="311"/>
      <c r="R114" s="319"/>
      <c r="S114" s="311"/>
      <c r="T114" s="319"/>
      <c r="U114" s="311"/>
      <c r="V114" s="319"/>
      <c r="W114" s="311"/>
      <c r="X114" s="319"/>
      <c r="Y114" s="311"/>
      <c r="Z114" s="319"/>
      <c r="AA114" s="311"/>
      <c r="AB114" s="319"/>
      <c r="AC114" s="311"/>
      <c r="AD114" s="319"/>
      <c r="AE114" s="311"/>
      <c r="AF114" s="319"/>
      <c r="AG114" s="311"/>
      <c r="AH114" s="319"/>
      <c r="AI114" s="311"/>
      <c r="AJ114" s="319"/>
      <c r="AK114" s="311"/>
      <c r="AL114" s="319"/>
      <c r="AM114" s="311"/>
      <c r="AN114" s="319"/>
      <c r="AO114" s="311"/>
      <c r="AP114" s="297"/>
      <c r="AQ114" s="262"/>
    </row>
    <row r="115" spans="1:43" s="312" customFormat="1" ht="18.75" x14ac:dyDescent="0.3">
      <c r="A115" s="297"/>
      <c r="B115" s="298" t="s">
        <v>467</v>
      </c>
      <c r="C115" s="326" t="s">
        <v>108</v>
      </c>
      <c r="D115" s="310"/>
      <c r="E115" s="313">
        <v>0</v>
      </c>
      <c r="F115" s="300"/>
      <c r="G115" s="299">
        <v>0</v>
      </c>
      <c r="H115" s="300"/>
      <c r="I115" s="299">
        <v>0</v>
      </c>
      <c r="J115" s="300"/>
      <c r="K115" s="313">
        <v>0</v>
      </c>
      <c r="L115" s="300"/>
      <c r="M115" s="299">
        <v>0</v>
      </c>
      <c r="N115" s="300"/>
      <c r="O115" s="313">
        <v>0</v>
      </c>
      <c r="P115" s="300"/>
      <c r="Q115" s="299">
        <v>0</v>
      </c>
      <c r="R115" s="300"/>
      <c r="S115" s="299">
        <v>0</v>
      </c>
      <c r="T115" s="300"/>
      <c r="U115" s="299">
        <v>0</v>
      </c>
      <c r="V115" s="300"/>
      <c r="W115" s="313">
        <v>0</v>
      </c>
      <c r="X115" s="300"/>
      <c r="Y115" s="313">
        <v>0</v>
      </c>
      <c r="Z115" s="300"/>
      <c r="AA115" s="299">
        <v>0</v>
      </c>
      <c r="AB115" s="300"/>
      <c r="AC115" s="299">
        <v>0</v>
      </c>
      <c r="AD115" s="300"/>
      <c r="AE115" s="299">
        <v>0</v>
      </c>
      <c r="AF115" s="300"/>
      <c r="AG115" s="299">
        <v>0</v>
      </c>
      <c r="AH115" s="300"/>
      <c r="AI115" s="299">
        <v>0</v>
      </c>
      <c r="AJ115" s="300"/>
      <c r="AK115" s="299">
        <v>0</v>
      </c>
      <c r="AL115" s="300"/>
      <c r="AM115" s="299">
        <v>0</v>
      </c>
      <c r="AN115" s="300"/>
      <c r="AO115" s="311">
        <f t="shared" ref="AO115:AO120" si="19">E115+K115+G115+I115+M115+O115+Q115+S115+U115+W115+Y115+AA115+AC115+AE115+AG115+AI115+AK115+AM115</f>
        <v>0</v>
      </c>
      <c r="AP115" s="297"/>
      <c r="AQ115" s="262"/>
    </row>
    <row r="116" spans="1:43" s="312" customFormat="1" ht="18.75" x14ac:dyDescent="0.3">
      <c r="A116" s="297"/>
      <c r="B116" s="298" t="s">
        <v>469</v>
      </c>
      <c r="C116" s="326" t="s">
        <v>109</v>
      </c>
      <c r="D116" s="310"/>
      <c r="E116" s="313">
        <v>0</v>
      </c>
      <c r="F116" s="300"/>
      <c r="G116" s="299">
        <v>0</v>
      </c>
      <c r="H116" s="300"/>
      <c r="I116" s="299">
        <v>0</v>
      </c>
      <c r="J116" s="300"/>
      <c r="K116" s="313">
        <v>0</v>
      </c>
      <c r="L116" s="300"/>
      <c r="M116" s="299">
        <v>0</v>
      </c>
      <c r="N116" s="300"/>
      <c r="O116" s="313">
        <v>0</v>
      </c>
      <c r="P116" s="300"/>
      <c r="Q116" s="299">
        <v>0</v>
      </c>
      <c r="R116" s="300"/>
      <c r="S116" s="299">
        <v>0</v>
      </c>
      <c r="T116" s="300"/>
      <c r="U116" s="299">
        <v>0</v>
      </c>
      <c r="V116" s="300"/>
      <c r="W116" s="313">
        <v>0</v>
      </c>
      <c r="X116" s="300"/>
      <c r="Y116" s="313">
        <v>0</v>
      </c>
      <c r="Z116" s="300"/>
      <c r="AA116" s="299">
        <v>0</v>
      </c>
      <c r="AB116" s="300"/>
      <c r="AC116" s="299">
        <v>0</v>
      </c>
      <c r="AD116" s="300"/>
      <c r="AE116" s="299">
        <v>0</v>
      </c>
      <c r="AF116" s="300"/>
      <c r="AG116" s="299">
        <v>0</v>
      </c>
      <c r="AH116" s="300"/>
      <c r="AI116" s="299">
        <v>0</v>
      </c>
      <c r="AJ116" s="300"/>
      <c r="AK116" s="299">
        <v>0</v>
      </c>
      <c r="AL116" s="300"/>
      <c r="AM116" s="299">
        <v>0</v>
      </c>
      <c r="AN116" s="300"/>
      <c r="AO116" s="311">
        <f t="shared" si="19"/>
        <v>0</v>
      </c>
      <c r="AP116" s="297"/>
      <c r="AQ116" s="262"/>
    </row>
    <row r="117" spans="1:43" s="312" customFormat="1" ht="37.5" x14ac:dyDescent="0.3">
      <c r="A117" s="297"/>
      <c r="B117" s="298" t="s">
        <v>470</v>
      </c>
      <c r="C117" s="326" t="s">
        <v>486</v>
      </c>
      <c r="D117" s="310"/>
      <c r="E117" s="313">
        <v>0</v>
      </c>
      <c r="F117" s="300"/>
      <c r="G117" s="299">
        <v>0</v>
      </c>
      <c r="H117" s="300"/>
      <c r="I117" s="299">
        <v>0</v>
      </c>
      <c r="J117" s="300"/>
      <c r="K117" s="313">
        <v>0</v>
      </c>
      <c r="L117" s="300"/>
      <c r="M117" s="299">
        <v>0</v>
      </c>
      <c r="N117" s="300"/>
      <c r="O117" s="313">
        <v>0</v>
      </c>
      <c r="P117" s="300"/>
      <c r="Q117" s="299">
        <v>0</v>
      </c>
      <c r="R117" s="300"/>
      <c r="S117" s="299">
        <v>0</v>
      </c>
      <c r="T117" s="300"/>
      <c r="U117" s="299">
        <v>0</v>
      </c>
      <c r="V117" s="300"/>
      <c r="W117" s="313">
        <v>0</v>
      </c>
      <c r="X117" s="300"/>
      <c r="Y117" s="313">
        <v>0</v>
      </c>
      <c r="Z117" s="300"/>
      <c r="AA117" s="299">
        <v>0</v>
      </c>
      <c r="AB117" s="300"/>
      <c r="AC117" s="299">
        <v>0</v>
      </c>
      <c r="AD117" s="300"/>
      <c r="AE117" s="299">
        <v>0</v>
      </c>
      <c r="AF117" s="300"/>
      <c r="AG117" s="299">
        <v>0</v>
      </c>
      <c r="AH117" s="300"/>
      <c r="AI117" s="299">
        <v>0</v>
      </c>
      <c r="AJ117" s="300"/>
      <c r="AK117" s="299">
        <v>0</v>
      </c>
      <c r="AL117" s="300"/>
      <c r="AM117" s="299">
        <v>0</v>
      </c>
      <c r="AN117" s="300"/>
      <c r="AO117" s="311">
        <f t="shared" si="19"/>
        <v>0</v>
      </c>
      <c r="AP117" s="297"/>
      <c r="AQ117" s="262"/>
    </row>
    <row r="118" spans="1:43" s="312" customFormat="1" ht="18.75" x14ac:dyDescent="0.3">
      <c r="A118" s="297"/>
      <c r="B118" s="298" t="s">
        <v>471</v>
      </c>
      <c r="C118" s="326" t="s">
        <v>112</v>
      </c>
      <c r="D118" s="310"/>
      <c r="E118" s="313">
        <v>0</v>
      </c>
      <c r="F118" s="300"/>
      <c r="G118" s="299">
        <v>0</v>
      </c>
      <c r="H118" s="300"/>
      <c r="I118" s="299">
        <v>0</v>
      </c>
      <c r="J118" s="300"/>
      <c r="K118" s="313">
        <v>0</v>
      </c>
      <c r="L118" s="300"/>
      <c r="M118" s="299">
        <v>0</v>
      </c>
      <c r="N118" s="300"/>
      <c r="O118" s="313">
        <v>0</v>
      </c>
      <c r="P118" s="300"/>
      <c r="Q118" s="299">
        <v>0</v>
      </c>
      <c r="R118" s="300"/>
      <c r="S118" s="299">
        <v>0</v>
      </c>
      <c r="T118" s="300"/>
      <c r="U118" s="299">
        <v>0</v>
      </c>
      <c r="V118" s="300"/>
      <c r="W118" s="313">
        <v>0</v>
      </c>
      <c r="X118" s="300"/>
      <c r="Y118" s="313">
        <v>0</v>
      </c>
      <c r="Z118" s="300"/>
      <c r="AA118" s="299">
        <v>0</v>
      </c>
      <c r="AB118" s="300"/>
      <c r="AC118" s="299">
        <v>0</v>
      </c>
      <c r="AD118" s="300"/>
      <c r="AE118" s="299">
        <v>0</v>
      </c>
      <c r="AF118" s="300"/>
      <c r="AG118" s="299">
        <v>0</v>
      </c>
      <c r="AH118" s="300"/>
      <c r="AI118" s="299">
        <v>0</v>
      </c>
      <c r="AJ118" s="300"/>
      <c r="AK118" s="299">
        <v>0</v>
      </c>
      <c r="AL118" s="300"/>
      <c r="AM118" s="299">
        <v>0</v>
      </c>
      <c r="AN118" s="300"/>
      <c r="AO118" s="311">
        <f t="shared" si="19"/>
        <v>0</v>
      </c>
      <c r="AP118" s="297"/>
      <c r="AQ118" s="262"/>
    </row>
    <row r="119" spans="1:43" s="312" customFormat="1" ht="18.75" x14ac:dyDescent="0.3">
      <c r="A119" s="297"/>
      <c r="B119" s="298" t="s">
        <v>472</v>
      </c>
      <c r="C119" s="326" t="s">
        <v>113</v>
      </c>
      <c r="D119" s="310"/>
      <c r="E119" s="313">
        <v>0</v>
      </c>
      <c r="F119" s="300"/>
      <c r="G119" s="299">
        <v>0</v>
      </c>
      <c r="H119" s="300"/>
      <c r="I119" s="299">
        <v>0</v>
      </c>
      <c r="J119" s="300"/>
      <c r="K119" s="313">
        <v>0</v>
      </c>
      <c r="L119" s="300"/>
      <c r="M119" s="299">
        <v>0</v>
      </c>
      <c r="N119" s="300"/>
      <c r="O119" s="313">
        <v>0</v>
      </c>
      <c r="P119" s="300"/>
      <c r="Q119" s="299">
        <v>0</v>
      </c>
      <c r="R119" s="300"/>
      <c r="S119" s="299">
        <v>0</v>
      </c>
      <c r="T119" s="300"/>
      <c r="U119" s="299">
        <v>0</v>
      </c>
      <c r="V119" s="300"/>
      <c r="W119" s="313">
        <v>0</v>
      </c>
      <c r="X119" s="300"/>
      <c r="Y119" s="313">
        <v>0</v>
      </c>
      <c r="Z119" s="300"/>
      <c r="AA119" s="299">
        <v>0</v>
      </c>
      <c r="AB119" s="300"/>
      <c r="AC119" s="299">
        <v>0</v>
      </c>
      <c r="AD119" s="300"/>
      <c r="AE119" s="299">
        <v>0</v>
      </c>
      <c r="AF119" s="300"/>
      <c r="AG119" s="299">
        <v>0</v>
      </c>
      <c r="AH119" s="300"/>
      <c r="AI119" s="299">
        <v>0</v>
      </c>
      <c r="AJ119" s="300"/>
      <c r="AK119" s="299">
        <v>0</v>
      </c>
      <c r="AL119" s="300"/>
      <c r="AM119" s="299">
        <v>0</v>
      </c>
      <c r="AN119" s="300"/>
      <c r="AO119" s="311">
        <f t="shared" si="19"/>
        <v>0</v>
      </c>
      <c r="AP119" s="297"/>
      <c r="AQ119" s="262"/>
    </row>
    <row r="120" spans="1:43" s="312" customFormat="1" ht="19.5" thickBot="1" x14ac:dyDescent="0.35">
      <c r="A120" s="297"/>
      <c r="B120" s="298" t="s">
        <v>473</v>
      </c>
      <c r="C120" s="326" t="s">
        <v>114</v>
      </c>
      <c r="D120" s="310"/>
      <c r="E120" s="313">
        <v>0</v>
      </c>
      <c r="F120" s="300"/>
      <c r="G120" s="299">
        <v>0</v>
      </c>
      <c r="H120" s="300"/>
      <c r="I120" s="299">
        <v>0</v>
      </c>
      <c r="J120" s="300"/>
      <c r="K120" s="313">
        <v>0</v>
      </c>
      <c r="L120" s="300"/>
      <c r="M120" s="299">
        <v>0</v>
      </c>
      <c r="N120" s="300"/>
      <c r="O120" s="313">
        <v>0</v>
      </c>
      <c r="P120" s="300"/>
      <c r="Q120" s="299">
        <v>0</v>
      </c>
      <c r="R120" s="300"/>
      <c r="S120" s="299">
        <v>0</v>
      </c>
      <c r="T120" s="300"/>
      <c r="U120" s="299">
        <v>0</v>
      </c>
      <c r="V120" s="300"/>
      <c r="W120" s="313">
        <v>0</v>
      </c>
      <c r="X120" s="300"/>
      <c r="Y120" s="313">
        <v>0</v>
      </c>
      <c r="Z120" s="300"/>
      <c r="AA120" s="299">
        <v>0</v>
      </c>
      <c r="AB120" s="300"/>
      <c r="AC120" s="299">
        <v>0</v>
      </c>
      <c r="AD120" s="300"/>
      <c r="AE120" s="299">
        <v>0</v>
      </c>
      <c r="AF120" s="300"/>
      <c r="AG120" s="299">
        <v>0</v>
      </c>
      <c r="AH120" s="300"/>
      <c r="AI120" s="299">
        <v>0</v>
      </c>
      <c r="AJ120" s="300"/>
      <c r="AK120" s="299">
        <v>0</v>
      </c>
      <c r="AL120" s="300"/>
      <c r="AM120" s="299">
        <v>0</v>
      </c>
      <c r="AN120" s="300"/>
      <c r="AO120" s="311">
        <f t="shared" si="19"/>
        <v>0</v>
      </c>
      <c r="AP120" s="297"/>
      <c r="AQ120" s="262"/>
    </row>
    <row r="121" spans="1:43" s="312" customFormat="1" ht="19.5" thickBot="1" x14ac:dyDescent="0.35">
      <c r="A121" s="297"/>
      <c r="B121" s="314" t="s">
        <v>488</v>
      </c>
      <c r="C121" s="315"/>
      <c r="D121" s="316"/>
      <c r="E121" s="317">
        <f>SUM(E115:E120)</f>
        <v>0</v>
      </c>
      <c r="F121" s="318"/>
      <c r="G121" s="317">
        <f>SUM(G115:G120)</f>
        <v>0</v>
      </c>
      <c r="H121" s="318"/>
      <c r="I121" s="317">
        <f>SUM(I115:I120)</f>
        <v>0</v>
      </c>
      <c r="J121" s="318"/>
      <c r="K121" s="317">
        <f>SUM(K115:K120)</f>
        <v>0</v>
      </c>
      <c r="L121" s="318"/>
      <c r="M121" s="317">
        <f>SUM(M115:M120)</f>
        <v>0</v>
      </c>
      <c r="N121" s="318"/>
      <c r="O121" s="317">
        <f>SUM(O115:O120)</f>
        <v>0</v>
      </c>
      <c r="P121" s="318"/>
      <c r="Q121" s="317">
        <f>SUM(Q115:Q120)</f>
        <v>0</v>
      </c>
      <c r="R121" s="318"/>
      <c r="S121" s="317">
        <f>SUM(S115:S120)</f>
        <v>0</v>
      </c>
      <c r="T121" s="318"/>
      <c r="U121" s="317">
        <f>SUM(U115:U120)</f>
        <v>0</v>
      </c>
      <c r="V121" s="318"/>
      <c r="W121" s="317">
        <f>SUM(W115:W120)</f>
        <v>0</v>
      </c>
      <c r="X121" s="318"/>
      <c r="Y121" s="317">
        <f>SUM(Y115:Y120)</f>
        <v>0</v>
      </c>
      <c r="Z121" s="318"/>
      <c r="AA121" s="317">
        <f>SUM(AA115:AA120)</f>
        <v>0</v>
      </c>
      <c r="AB121" s="318"/>
      <c r="AC121" s="317">
        <f>SUM(AC115:AC120)</f>
        <v>0</v>
      </c>
      <c r="AD121" s="318"/>
      <c r="AE121" s="317">
        <f>SUM(AE115:AE120)</f>
        <v>0</v>
      </c>
      <c r="AF121" s="318"/>
      <c r="AG121" s="317">
        <f>SUM(AG115:AG120)</f>
        <v>0</v>
      </c>
      <c r="AH121" s="318"/>
      <c r="AI121" s="317">
        <f>SUM(AI115:AI120)</f>
        <v>0</v>
      </c>
      <c r="AJ121" s="318"/>
      <c r="AK121" s="317">
        <f>SUM(AK115:AK120)</f>
        <v>0</v>
      </c>
      <c r="AL121" s="318"/>
      <c r="AM121" s="317">
        <f>SUM(AM115:AM120)</f>
        <v>0</v>
      </c>
      <c r="AN121" s="318"/>
      <c r="AO121" s="317">
        <f>SUM(AO115:AO120)</f>
        <v>0</v>
      </c>
      <c r="AP121" s="297"/>
      <c r="AQ121" s="262"/>
    </row>
    <row r="122" spans="1:43" s="312" customFormat="1" ht="18.75" x14ac:dyDescent="0.3">
      <c r="A122" s="297"/>
      <c r="B122" s="298"/>
      <c r="C122" s="309"/>
      <c r="D122" s="310"/>
      <c r="E122" s="311"/>
      <c r="F122" s="319"/>
      <c r="G122" s="311"/>
      <c r="H122" s="319"/>
      <c r="I122" s="311"/>
      <c r="J122" s="319"/>
      <c r="K122" s="311"/>
      <c r="L122" s="319"/>
      <c r="M122" s="311"/>
      <c r="N122" s="319"/>
      <c r="O122" s="311"/>
      <c r="P122" s="319"/>
      <c r="Q122" s="311"/>
      <c r="R122" s="319"/>
      <c r="S122" s="311"/>
      <c r="T122" s="319"/>
      <c r="U122" s="311"/>
      <c r="V122" s="319"/>
      <c r="W122" s="311"/>
      <c r="X122" s="319"/>
      <c r="Y122" s="311"/>
      <c r="Z122" s="319"/>
      <c r="AA122" s="311"/>
      <c r="AB122" s="319"/>
      <c r="AC122" s="311"/>
      <c r="AD122" s="319"/>
      <c r="AE122" s="311"/>
      <c r="AF122" s="319"/>
      <c r="AG122" s="311"/>
      <c r="AH122" s="319"/>
      <c r="AI122" s="311"/>
      <c r="AJ122" s="319"/>
      <c r="AK122" s="311"/>
      <c r="AL122" s="319"/>
      <c r="AM122" s="311"/>
      <c r="AN122" s="319"/>
      <c r="AO122" s="311"/>
      <c r="AP122" s="297"/>
      <c r="AQ122" s="262"/>
    </row>
    <row r="123" spans="1:43" s="312" customFormat="1" ht="18.75" x14ac:dyDescent="0.3">
      <c r="A123" s="297"/>
      <c r="B123" s="298" t="s">
        <v>122</v>
      </c>
      <c r="C123" s="309"/>
      <c r="D123" s="310"/>
      <c r="E123" s="311"/>
      <c r="F123" s="319"/>
      <c r="G123" s="311"/>
      <c r="H123" s="319"/>
      <c r="I123" s="311"/>
      <c r="J123" s="319"/>
      <c r="K123" s="311"/>
      <c r="L123" s="319"/>
      <c r="M123" s="311"/>
      <c r="N123" s="319"/>
      <c r="O123" s="311"/>
      <c r="P123" s="319"/>
      <c r="Q123" s="311"/>
      <c r="R123" s="319"/>
      <c r="S123" s="311"/>
      <c r="T123" s="319"/>
      <c r="U123" s="311"/>
      <c r="V123" s="319"/>
      <c r="W123" s="311"/>
      <c r="X123" s="319"/>
      <c r="Y123" s="311"/>
      <c r="Z123" s="319"/>
      <c r="AA123" s="311"/>
      <c r="AB123" s="319"/>
      <c r="AC123" s="311"/>
      <c r="AD123" s="319"/>
      <c r="AE123" s="311"/>
      <c r="AF123" s="319"/>
      <c r="AG123" s="311"/>
      <c r="AH123" s="319"/>
      <c r="AI123" s="311"/>
      <c r="AJ123" s="319"/>
      <c r="AK123" s="311"/>
      <c r="AL123" s="319"/>
      <c r="AM123" s="311"/>
      <c r="AN123" s="319"/>
      <c r="AO123" s="311"/>
      <c r="AP123" s="297"/>
      <c r="AQ123" s="262"/>
    </row>
    <row r="124" spans="1:43" s="312" customFormat="1" ht="18.75" x14ac:dyDescent="0.3">
      <c r="A124" s="297"/>
      <c r="B124" s="298" t="s">
        <v>467</v>
      </c>
      <c r="C124" s="326" t="s">
        <v>108</v>
      </c>
      <c r="D124" s="310"/>
      <c r="E124" s="313">
        <v>0</v>
      </c>
      <c r="F124" s="300"/>
      <c r="G124" s="299">
        <v>0</v>
      </c>
      <c r="H124" s="300"/>
      <c r="I124" s="299">
        <v>0</v>
      </c>
      <c r="J124" s="300"/>
      <c r="K124" s="313">
        <v>0</v>
      </c>
      <c r="L124" s="300"/>
      <c r="M124" s="299">
        <v>482529</v>
      </c>
      <c r="N124" s="300"/>
      <c r="O124" s="313">
        <v>0</v>
      </c>
      <c r="P124" s="300"/>
      <c r="Q124" s="299">
        <v>0</v>
      </c>
      <c r="R124" s="300"/>
      <c r="S124" s="299">
        <v>0</v>
      </c>
      <c r="T124" s="300"/>
      <c r="U124" s="299">
        <v>0</v>
      </c>
      <c r="V124" s="300"/>
      <c r="W124" s="313">
        <v>0</v>
      </c>
      <c r="X124" s="300"/>
      <c r="Y124" s="313">
        <v>0</v>
      </c>
      <c r="Z124" s="300"/>
      <c r="AA124" s="299">
        <v>0</v>
      </c>
      <c r="AB124" s="300"/>
      <c r="AC124" s="299">
        <v>0</v>
      </c>
      <c r="AD124" s="300"/>
      <c r="AE124" s="299">
        <v>0</v>
      </c>
      <c r="AF124" s="300"/>
      <c r="AG124" s="299">
        <v>0</v>
      </c>
      <c r="AH124" s="300"/>
      <c r="AI124" s="299">
        <v>0</v>
      </c>
      <c r="AJ124" s="300"/>
      <c r="AK124" s="299">
        <v>0</v>
      </c>
      <c r="AL124" s="300"/>
      <c r="AM124" s="299">
        <v>0</v>
      </c>
      <c r="AN124" s="300"/>
      <c r="AO124" s="311">
        <f t="shared" ref="AO124:AO129" si="20">E124+K124+G124+I124+M124+O124+Q124+S124+U124+W124+Y124+AA124+AC124+AE124+AG124+AI124+AK124+AM124</f>
        <v>482529</v>
      </c>
      <c r="AP124" s="297"/>
      <c r="AQ124" s="262"/>
    </row>
    <row r="125" spans="1:43" s="312" customFormat="1" ht="18.75" x14ac:dyDescent="0.3">
      <c r="A125" s="297"/>
      <c r="B125" s="298" t="s">
        <v>469</v>
      </c>
      <c r="C125" s="326" t="s">
        <v>109</v>
      </c>
      <c r="D125" s="310"/>
      <c r="E125" s="313">
        <v>0</v>
      </c>
      <c r="F125" s="300"/>
      <c r="G125" s="299">
        <v>0</v>
      </c>
      <c r="H125" s="300"/>
      <c r="I125" s="299">
        <v>0</v>
      </c>
      <c r="J125" s="300"/>
      <c r="K125" s="313">
        <v>0</v>
      </c>
      <c r="L125" s="300"/>
      <c r="M125" s="299">
        <v>206798</v>
      </c>
      <c r="N125" s="300"/>
      <c r="O125" s="313">
        <v>0</v>
      </c>
      <c r="P125" s="300"/>
      <c r="Q125" s="299">
        <v>0</v>
      </c>
      <c r="R125" s="300"/>
      <c r="S125" s="299">
        <v>0</v>
      </c>
      <c r="T125" s="300"/>
      <c r="U125" s="299">
        <v>0</v>
      </c>
      <c r="V125" s="300"/>
      <c r="W125" s="313">
        <v>0</v>
      </c>
      <c r="X125" s="300"/>
      <c r="Y125" s="313">
        <v>0</v>
      </c>
      <c r="Z125" s="300"/>
      <c r="AA125" s="299">
        <v>0</v>
      </c>
      <c r="AB125" s="300"/>
      <c r="AC125" s="299">
        <v>0</v>
      </c>
      <c r="AD125" s="300"/>
      <c r="AE125" s="299">
        <v>0</v>
      </c>
      <c r="AF125" s="300"/>
      <c r="AG125" s="299">
        <v>0</v>
      </c>
      <c r="AH125" s="300"/>
      <c r="AI125" s="299">
        <v>0</v>
      </c>
      <c r="AJ125" s="300"/>
      <c r="AK125" s="299">
        <v>0</v>
      </c>
      <c r="AL125" s="300"/>
      <c r="AM125" s="299">
        <v>0</v>
      </c>
      <c r="AN125" s="300"/>
      <c r="AO125" s="311">
        <f t="shared" si="20"/>
        <v>206798</v>
      </c>
      <c r="AP125" s="297"/>
      <c r="AQ125" s="262"/>
    </row>
    <row r="126" spans="1:43" s="312" customFormat="1" ht="37.5" x14ac:dyDescent="0.3">
      <c r="A126" s="297"/>
      <c r="B126" s="298" t="s">
        <v>470</v>
      </c>
      <c r="C126" s="326" t="s">
        <v>486</v>
      </c>
      <c r="D126" s="310"/>
      <c r="E126" s="313">
        <v>0</v>
      </c>
      <c r="F126" s="300"/>
      <c r="G126" s="299">
        <v>0</v>
      </c>
      <c r="H126" s="300"/>
      <c r="I126" s="299">
        <v>0</v>
      </c>
      <c r="J126" s="300"/>
      <c r="K126" s="313">
        <v>0</v>
      </c>
      <c r="L126" s="300"/>
      <c r="M126" s="299">
        <v>8575</v>
      </c>
      <c r="N126" s="300"/>
      <c r="O126" s="313">
        <v>0</v>
      </c>
      <c r="P126" s="300"/>
      <c r="Q126" s="299">
        <v>0</v>
      </c>
      <c r="R126" s="300"/>
      <c r="S126" s="299">
        <v>0</v>
      </c>
      <c r="T126" s="300"/>
      <c r="U126" s="299">
        <v>0</v>
      </c>
      <c r="V126" s="300"/>
      <c r="W126" s="313">
        <v>0</v>
      </c>
      <c r="X126" s="300"/>
      <c r="Y126" s="313">
        <v>0</v>
      </c>
      <c r="Z126" s="300"/>
      <c r="AA126" s="299">
        <v>0</v>
      </c>
      <c r="AB126" s="300"/>
      <c r="AC126" s="299">
        <v>0</v>
      </c>
      <c r="AD126" s="300"/>
      <c r="AE126" s="299">
        <v>0</v>
      </c>
      <c r="AF126" s="300"/>
      <c r="AG126" s="299">
        <v>0</v>
      </c>
      <c r="AH126" s="300"/>
      <c r="AI126" s="299">
        <v>0</v>
      </c>
      <c r="AJ126" s="300"/>
      <c r="AK126" s="299">
        <v>0</v>
      </c>
      <c r="AL126" s="300"/>
      <c r="AM126" s="299">
        <v>0</v>
      </c>
      <c r="AN126" s="300"/>
      <c r="AO126" s="311">
        <f t="shared" si="20"/>
        <v>8575</v>
      </c>
      <c r="AP126" s="297"/>
      <c r="AQ126" s="262"/>
    </row>
    <row r="127" spans="1:43" s="312" customFormat="1" ht="18.75" x14ac:dyDescent="0.3">
      <c r="A127" s="297"/>
      <c r="B127" s="298" t="s">
        <v>471</v>
      </c>
      <c r="C127" s="326" t="s">
        <v>112</v>
      </c>
      <c r="D127" s="310"/>
      <c r="E127" s="313">
        <v>0</v>
      </c>
      <c r="F127" s="300"/>
      <c r="G127" s="299">
        <v>0</v>
      </c>
      <c r="H127" s="300"/>
      <c r="I127" s="299">
        <v>0</v>
      </c>
      <c r="J127" s="300"/>
      <c r="K127" s="313">
        <v>0</v>
      </c>
      <c r="L127" s="300"/>
      <c r="M127" s="299">
        <v>725865</v>
      </c>
      <c r="N127" s="300"/>
      <c r="O127" s="313">
        <v>0</v>
      </c>
      <c r="P127" s="300"/>
      <c r="Q127" s="299">
        <v>0</v>
      </c>
      <c r="R127" s="300"/>
      <c r="S127" s="299">
        <v>0</v>
      </c>
      <c r="T127" s="300"/>
      <c r="U127" s="299">
        <v>0</v>
      </c>
      <c r="V127" s="300"/>
      <c r="W127" s="313">
        <v>0</v>
      </c>
      <c r="X127" s="300"/>
      <c r="Y127" s="313">
        <v>0</v>
      </c>
      <c r="Z127" s="300"/>
      <c r="AA127" s="299">
        <v>0</v>
      </c>
      <c r="AB127" s="300"/>
      <c r="AC127" s="299">
        <v>0</v>
      </c>
      <c r="AD127" s="300"/>
      <c r="AE127" s="299">
        <v>0</v>
      </c>
      <c r="AF127" s="300"/>
      <c r="AG127" s="299">
        <v>0</v>
      </c>
      <c r="AH127" s="300"/>
      <c r="AI127" s="299">
        <v>0</v>
      </c>
      <c r="AJ127" s="300"/>
      <c r="AK127" s="299">
        <v>0</v>
      </c>
      <c r="AL127" s="300"/>
      <c r="AM127" s="299">
        <v>0</v>
      </c>
      <c r="AN127" s="300"/>
      <c r="AO127" s="311">
        <f t="shared" si="20"/>
        <v>725865</v>
      </c>
      <c r="AP127" s="297"/>
      <c r="AQ127" s="262"/>
    </row>
    <row r="128" spans="1:43" s="312" customFormat="1" ht="18.75" x14ac:dyDescent="0.3">
      <c r="A128" s="297"/>
      <c r="B128" s="298" t="s">
        <v>472</v>
      </c>
      <c r="C128" s="326" t="s">
        <v>113</v>
      </c>
      <c r="D128" s="310"/>
      <c r="E128" s="313">
        <v>0</v>
      </c>
      <c r="F128" s="300"/>
      <c r="G128" s="299">
        <v>0</v>
      </c>
      <c r="H128" s="300"/>
      <c r="I128" s="299">
        <v>0</v>
      </c>
      <c r="J128" s="300"/>
      <c r="K128" s="313">
        <v>0</v>
      </c>
      <c r="L128" s="300"/>
      <c r="M128" s="299">
        <v>3355</v>
      </c>
      <c r="N128" s="300"/>
      <c r="O128" s="313">
        <v>0</v>
      </c>
      <c r="P128" s="300"/>
      <c r="Q128" s="299">
        <v>0</v>
      </c>
      <c r="R128" s="300"/>
      <c r="S128" s="299">
        <v>0</v>
      </c>
      <c r="T128" s="300"/>
      <c r="U128" s="299">
        <v>0</v>
      </c>
      <c r="V128" s="300"/>
      <c r="W128" s="313">
        <v>0</v>
      </c>
      <c r="X128" s="300"/>
      <c r="Y128" s="313">
        <v>0</v>
      </c>
      <c r="Z128" s="300"/>
      <c r="AA128" s="299">
        <v>0</v>
      </c>
      <c r="AB128" s="300"/>
      <c r="AC128" s="299">
        <v>0</v>
      </c>
      <c r="AD128" s="300"/>
      <c r="AE128" s="299">
        <v>25000</v>
      </c>
      <c r="AF128" s="300"/>
      <c r="AG128" s="299">
        <v>0</v>
      </c>
      <c r="AH128" s="300"/>
      <c r="AI128" s="299">
        <v>0</v>
      </c>
      <c r="AJ128" s="300"/>
      <c r="AK128" s="299">
        <v>0</v>
      </c>
      <c r="AL128" s="300"/>
      <c r="AM128" s="299">
        <v>0</v>
      </c>
      <c r="AN128" s="300"/>
      <c r="AO128" s="311">
        <f t="shared" si="20"/>
        <v>28355</v>
      </c>
      <c r="AP128" s="297"/>
      <c r="AQ128" s="262"/>
    </row>
    <row r="129" spans="1:43" s="312" customFormat="1" ht="19.5" thickBot="1" x14ac:dyDescent="0.35">
      <c r="A129" s="297"/>
      <c r="B129" s="298" t="s">
        <v>473</v>
      </c>
      <c r="C129" s="326" t="s">
        <v>114</v>
      </c>
      <c r="D129" s="310"/>
      <c r="E129" s="313">
        <v>0</v>
      </c>
      <c r="F129" s="300"/>
      <c r="G129" s="299">
        <v>0</v>
      </c>
      <c r="H129" s="300"/>
      <c r="I129" s="299">
        <v>0</v>
      </c>
      <c r="J129" s="300"/>
      <c r="K129" s="313">
        <v>0</v>
      </c>
      <c r="L129" s="300"/>
      <c r="M129" s="299">
        <v>2200</v>
      </c>
      <c r="N129" s="300"/>
      <c r="O129" s="313">
        <v>0</v>
      </c>
      <c r="P129" s="300"/>
      <c r="Q129" s="299">
        <v>0</v>
      </c>
      <c r="R129" s="300"/>
      <c r="S129" s="299">
        <v>0</v>
      </c>
      <c r="T129" s="300"/>
      <c r="U129" s="299">
        <v>0</v>
      </c>
      <c r="V129" s="300"/>
      <c r="W129" s="313">
        <v>0</v>
      </c>
      <c r="X129" s="300"/>
      <c r="Y129" s="313">
        <v>0</v>
      </c>
      <c r="Z129" s="300"/>
      <c r="AA129" s="299">
        <v>0</v>
      </c>
      <c r="AB129" s="300"/>
      <c r="AC129" s="299">
        <v>0</v>
      </c>
      <c r="AD129" s="300"/>
      <c r="AE129" s="299">
        <v>0</v>
      </c>
      <c r="AF129" s="300"/>
      <c r="AG129" s="299">
        <v>0</v>
      </c>
      <c r="AH129" s="300"/>
      <c r="AI129" s="299">
        <v>0</v>
      </c>
      <c r="AJ129" s="300"/>
      <c r="AK129" s="299">
        <v>0</v>
      </c>
      <c r="AL129" s="300"/>
      <c r="AM129" s="299">
        <v>0</v>
      </c>
      <c r="AN129" s="300"/>
      <c r="AO129" s="311">
        <f t="shared" si="20"/>
        <v>2200</v>
      </c>
      <c r="AP129" s="297"/>
      <c r="AQ129" s="262"/>
    </row>
    <row r="130" spans="1:43" s="312" customFormat="1" ht="19.5" thickBot="1" x14ac:dyDescent="0.35">
      <c r="A130" s="297"/>
      <c r="B130" s="314" t="s">
        <v>488</v>
      </c>
      <c r="C130" s="315"/>
      <c r="D130" s="316"/>
      <c r="E130" s="317">
        <f>SUM(E124:E129)</f>
        <v>0</v>
      </c>
      <c r="F130" s="318"/>
      <c r="G130" s="317">
        <f>SUM(G124:G129)</f>
        <v>0</v>
      </c>
      <c r="H130" s="318"/>
      <c r="I130" s="317">
        <f>SUM(I124:I129)</f>
        <v>0</v>
      </c>
      <c r="J130" s="318"/>
      <c r="K130" s="317">
        <f>SUM(K124:K129)</f>
        <v>0</v>
      </c>
      <c r="L130" s="318"/>
      <c r="M130" s="317">
        <f>SUM(M124:M129)</f>
        <v>1429322</v>
      </c>
      <c r="N130" s="318"/>
      <c r="O130" s="317">
        <f>SUM(O124:O129)</f>
        <v>0</v>
      </c>
      <c r="P130" s="318"/>
      <c r="Q130" s="317">
        <f>SUM(Q124:Q129)</f>
        <v>0</v>
      </c>
      <c r="R130" s="318"/>
      <c r="S130" s="317">
        <f>SUM(S124:S129)</f>
        <v>0</v>
      </c>
      <c r="T130" s="318"/>
      <c r="U130" s="317">
        <f>SUM(U124:U129)</f>
        <v>0</v>
      </c>
      <c r="V130" s="318"/>
      <c r="W130" s="317">
        <f>SUM(W124:W129)</f>
        <v>0</v>
      </c>
      <c r="X130" s="318"/>
      <c r="Y130" s="317">
        <f>SUM(Y124:Y129)</f>
        <v>0</v>
      </c>
      <c r="Z130" s="318"/>
      <c r="AA130" s="317">
        <f>SUM(AA124:AA129)</f>
        <v>0</v>
      </c>
      <c r="AB130" s="318"/>
      <c r="AC130" s="317">
        <f>SUM(AC124:AC129)</f>
        <v>0</v>
      </c>
      <c r="AD130" s="318"/>
      <c r="AE130" s="317">
        <f>SUM(AE124:AE129)</f>
        <v>25000</v>
      </c>
      <c r="AF130" s="318"/>
      <c r="AG130" s="317">
        <f>SUM(AG124:AG129)</f>
        <v>0</v>
      </c>
      <c r="AH130" s="318"/>
      <c r="AI130" s="317">
        <f>SUM(AI124:AI129)</f>
        <v>0</v>
      </c>
      <c r="AJ130" s="318"/>
      <c r="AK130" s="317">
        <f>SUM(AK124:AK129)</f>
        <v>0</v>
      </c>
      <c r="AL130" s="318"/>
      <c r="AM130" s="317">
        <f>SUM(AM124:AM129)</f>
        <v>0</v>
      </c>
      <c r="AN130" s="318"/>
      <c r="AO130" s="317">
        <f>SUM(AO124:AO129)</f>
        <v>1454322</v>
      </c>
      <c r="AP130" s="297"/>
      <c r="AQ130" s="262"/>
    </row>
    <row r="131" spans="1:43" s="312" customFormat="1" ht="18.75" x14ac:dyDescent="0.3">
      <c r="A131" s="297"/>
      <c r="B131" s="333"/>
      <c r="C131" s="334"/>
      <c r="D131" s="297"/>
      <c r="E131" s="335"/>
      <c r="F131" s="319"/>
      <c r="G131" s="335"/>
      <c r="H131" s="319"/>
      <c r="I131" s="335"/>
      <c r="J131" s="319"/>
      <c r="K131" s="335"/>
      <c r="L131" s="319"/>
      <c r="M131" s="335"/>
      <c r="N131" s="319"/>
      <c r="O131" s="335"/>
      <c r="P131" s="319"/>
      <c r="Q131" s="335"/>
      <c r="R131" s="319"/>
      <c r="S131" s="335"/>
      <c r="T131" s="319"/>
      <c r="U131" s="335"/>
      <c r="V131" s="319"/>
      <c r="W131" s="335"/>
      <c r="X131" s="319"/>
      <c r="Y131" s="335"/>
      <c r="Z131" s="319"/>
      <c r="AA131" s="335"/>
      <c r="AB131" s="319"/>
      <c r="AC131" s="335"/>
      <c r="AD131" s="319"/>
      <c r="AE131" s="335"/>
      <c r="AF131" s="319"/>
      <c r="AG131" s="335"/>
      <c r="AH131" s="319"/>
      <c r="AI131" s="335"/>
      <c r="AJ131" s="319"/>
      <c r="AK131" s="335"/>
      <c r="AL131" s="319"/>
      <c r="AM131" s="335"/>
      <c r="AN131" s="319"/>
      <c r="AO131" s="335"/>
      <c r="AP131" s="297"/>
      <c r="AQ131" s="262"/>
    </row>
    <row r="132" spans="1:43" s="312" customFormat="1" ht="18.75" x14ac:dyDescent="0.3">
      <c r="A132" s="297"/>
      <c r="B132" s="298" t="s">
        <v>123</v>
      </c>
      <c r="C132" s="309"/>
      <c r="D132" s="310"/>
      <c r="E132" s="311"/>
      <c r="F132" s="319"/>
      <c r="G132" s="311"/>
      <c r="H132" s="319"/>
      <c r="I132" s="311"/>
      <c r="J132" s="319"/>
      <c r="K132" s="311"/>
      <c r="L132" s="319"/>
      <c r="M132" s="311"/>
      <c r="N132" s="319"/>
      <c r="O132" s="311"/>
      <c r="P132" s="319"/>
      <c r="Q132" s="311"/>
      <c r="R132" s="319"/>
      <c r="S132" s="311"/>
      <c r="T132" s="319"/>
      <c r="U132" s="311"/>
      <c r="V132" s="319"/>
      <c r="W132" s="311"/>
      <c r="X132" s="319"/>
      <c r="Y132" s="311"/>
      <c r="Z132" s="319"/>
      <c r="AA132" s="311"/>
      <c r="AB132" s="319"/>
      <c r="AC132" s="311"/>
      <c r="AD132" s="319"/>
      <c r="AE132" s="311"/>
      <c r="AF132" s="319"/>
      <c r="AG132" s="311"/>
      <c r="AH132" s="319"/>
      <c r="AI132" s="311"/>
      <c r="AJ132" s="319"/>
      <c r="AK132" s="311"/>
      <c r="AL132" s="319"/>
      <c r="AM132" s="311"/>
      <c r="AN132" s="319"/>
      <c r="AO132" s="311"/>
      <c r="AP132" s="297"/>
      <c r="AQ132" s="262"/>
    </row>
    <row r="133" spans="1:43" s="312" customFormat="1" ht="18.75" x14ac:dyDescent="0.3">
      <c r="A133" s="297"/>
      <c r="B133" s="298" t="s">
        <v>467</v>
      </c>
      <c r="C133" s="326" t="s">
        <v>108</v>
      </c>
      <c r="D133" s="310"/>
      <c r="E133" s="313">
        <v>0</v>
      </c>
      <c r="F133" s="300"/>
      <c r="G133" s="299">
        <v>0</v>
      </c>
      <c r="H133" s="300"/>
      <c r="I133" s="299">
        <v>0</v>
      </c>
      <c r="J133" s="300"/>
      <c r="K133" s="313">
        <v>0</v>
      </c>
      <c r="L133" s="300"/>
      <c r="M133" s="299">
        <v>0</v>
      </c>
      <c r="N133" s="300"/>
      <c r="O133" s="313">
        <v>0</v>
      </c>
      <c r="P133" s="300"/>
      <c r="Q133" s="299">
        <v>0</v>
      </c>
      <c r="R133" s="300"/>
      <c r="S133" s="299">
        <v>0</v>
      </c>
      <c r="T133" s="300"/>
      <c r="U133" s="299">
        <v>0</v>
      </c>
      <c r="V133" s="300"/>
      <c r="W133" s="313">
        <v>0</v>
      </c>
      <c r="X133" s="300"/>
      <c r="Y133" s="313">
        <v>0</v>
      </c>
      <c r="Z133" s="300"/>
      <c r="AA133" s="299">
        <v>0</v>
      </c>
      <c r="AB133" s="300"/>
      <c r="AC133" s="299">
        <v>0</v>
      </c>
      <c r="AD133" s="300"/>
      <c r="AE133" s="299">
        <v>0</v>
      </c>
      <c r="AF133" s="300"/>
      <c r="AG133" s="299">
        <v>0</v>
      </c>
      <c r="AH133" s="300"/>
      <c r="AI133" s="299">
        <v>0</v>
      </c>
      <c r="AJ133" s="300"/>
      <c r="AK133" s="299">
        <v>0</v>
      </c>
      <c r="AL133" s="300"/>
      <c r="AM133" s="299">
        <v>0</v>
      </c>
      <c r="AN133" s="300"/>
      <c r="AO133" s="311">
        <f t="shared" ref="AO133:AO138" si="21">E133+K133+G133+I133+M133+O133+Q133+S133+U133+W133+Y133+AA133+AC133+AE133+AG133+AI133+AK133+AM133</f>
        <v>0</v>
      </c>
      <c r="AP133" s="297"/>
      <c r="AQ133" s="262"/>
    </row>
    <row r="134" spans="1:43" s="312" customFormat="1" ht="18.75" x14ac:dyDescent="0.3">
      <c r="A134" s="297"/>
      <c r="B134" s="298" t="s">
        <v>469</v>
      </c>
      <c r="C134" s="326" t="s">
        <v>109</v>
      </c>
      <c r="D134" s="310"/>
      <c r="E134" s="313">
        <v>0</v>
      </c>
      <c r="F134" s="300"/>
      <c r="G134" s="299">
        <v>0</v>
      </c>
      <c r="H134" s="300"/>
      <c r="I134" s="299">
        <v>0</v>
      </c>
      <c r="J134" s="300"/>
      <c r="K134" s="313">
        <v>0</v>
      </c>
      <c r="L134" s="300"/>
      <c r="M134" s="299">
        <v>0</v>
      </c>
      <c r="N134" s="300"/>
      <c r="O134" s="313">
        <v>0</v>
      </c>
      <c r="P134" s="300"/>
      <c r="Q134" s="299">
        <v>0</v>
      </c>
      <c r="R134" s="300"/>
      <c r="S134" s="299">
        <v>0</v>
      </c>
      <c r="T134" s="300"/>
      <c r="U134" s="299">
        <v>0</v>
      </c>
      <c r="V134" s="300"/>
      <c r="W134" s="313">
        <v>0</v>
      </c>
      <c r="X134" s="300"/>
      <c r="Y134" s="313">
        <v>0</v>
      </c>
      <c r="Z134" s="300"/>
      <c r="AA134" s="299">
        <v>0</v>
      </c>
      <c r="AB134" s="300"/>
      <c r="AC134" s="299">
        <v>0</v>
      </c>
      <c r="AD134" s="300"/>
      <c r="AE134" s="299">
        <v>0</v>
      </c>
      <c r="AF134" s="300"/>
      <c r="AG134" s="299">
        <v>0</v>
      </c>
      <c r="AH134" s="300"/>
      <c r="AI134" s="299">
        <v>0</v>
      </c>
      <c r="AJ134" s="300"/>
      <c r="AK134" s="299">
        <v>0</v>
      </c>
      <c r="AL134" s="300"/>
      <c r="AM134" s="299">
        <v>0</v>
      </c>
      <c r="AN134" s="300"/>
      <c r="AO134" s="311">
        <f t="shared" si="21"/>
        <v>0</v>
      </c>
      <c r="AP134" s="297"/>
      <c r="AQ134" s="262"/>
    </row>
    <row r="135" spans="1:43" s="312" customFormat="1" ht="37.5" x14ac:dyDescent="0.3">
      <c r="A135" s="297"/>
      <c r="B135" s="298" t="s">
        <v>470</v>
      </c>
      <c r="C135" s="326" t="s">
        <v>486</v>
      </c>
      <c r="D135" s="310"/>
      <c r="E135" s="313">
        <v>0</v>
      </c>
      <c r="F135" s="300"/>
      <c r="G135" s="313">
        <v>0</v>
      </c>
      <c r="H135" s="300"/>
      <c r="I135" s="313">
        <v>0</v>
      </c>
      <c r="J135" s="300"/>
      <c r="K135" s="313">
        <v>0</v>
      </c>
      <c r="L135" s="300"/>
      <c r="M135" s="313">
        <v>0</v>
      </c>
      <c r="N135" s="300"/>
      <c r="O135" s="313">
        <v>0</v>
      </c>
      <c r="P135" s="300"/>
      <c r="Q135" s="313">
        <v>0</v>
      </c>
      <c r="R135" s="300"/>
      <c r="S135" s="313">
        <v>0</v>
      </c>
      <c r="T135" s="300"/>
      <c r="U135" s="313">
        <v>0</v>
      </c>
      <c r="V135" s="300"/>
      <c r="W135" s="313">
        <v>0</v>
      </c>
      <c r="X135" s="300"/>
      <c r="Y135" s="313">
        <v>0</v>
      </c>
      <c r="Z135" s="300"/>
      <c r="AA135" s="313">
        <v>0</v>
      </c>
      <c r="AB135" s="300"/>
      <c r="AC135" s="313">
        <v>0</v>
      </c>
      <c r="AD135" s="300"/>
      <c r="AE135" s="313">
        <v>0</v>
      </c>
      <c r="AF135" s="300"/>
      <c r="AG135" s="313">
        <v>0</v>
      </c>
      <c r="AH135" s="300"/>
      <c r="AI135" s="313">
        <v>0</v>
      </c>
      <c r="AJ135" s="300"/>
      <c r="AK135" s="313">
        <v>0</v>
      </c>
      <c r="AL135" s="300"/>
      <c r="AM135" s="313">
        <v>0</v>
      </c>
      <c r="AN135" s="300"/>
      <c r="AO135" s="311">
        <f t="shared" si="21"/>
        <v>0</v>
      </c>
      <c r="AP135" s="297"/>
      <c r="AQ135" s="262"/>
    </row>
    <row r="136" spans="1:43" s="312" customFormat="1" ht="18.75" x14ac:dyDescent="0.3">
      <c r="A136" s="297"/>
      <c r="B136" s="298" t="s">
        <v>471</v>
      </c>
      <c r="C136" s="326" t="s">
        <v>112</v>
      </c>
      <c r="D136" s="310"/>
      <c r="E136" s="313">
        <v>0</v>
      </c>
      <c r="F136" s="300"/>
      <c r="G136" s="313">
        <v>0</v>
      </c>
      <c r="H136" s="300"/>
      <c r="I136" s="313">
        <v>0</v>
      </c>
      <c r="J136" s="300"/>
      <c r="K136" s="313">
        <v>0</v>
      </c>
      <c r="L136" s="300"/>
      <c r="M136" s="313">
        <v>0</v>
      </c>
      <c r="N136" s="300"/>
      <c r="O136" s="313">
        <v>0</v>
      </c>
      <c r="P136" s="300"/>
      <c r="Q136" s="313">
        <v>0</v>
      </c>
      <c r="R136" s="300"/>
      <c r="S136" s="313">
        <v>0</v>
      </c>
      <c r="T136" s="300"/>
      <c r="U136" s="313">
        <v>0</v>
      </c>
      <c r="V136" s="300"/>
      <c r="W136" s="313">
        <v>0</v>
      </c>
      <c r="X136" s="300"/>
      <c r="Y136" s="313">
        <v>0</v>
      </c>
      <c r="Z136" s="300"/>
      <c r="AA136" s="313">
        <v>0</v>
      </c>
      <c r="AB136" s="300"/>
      <c r="AC136" s="313">
        <v>0</v>
      </c>
      <c r="AD136" s="300"/>
      <c r="AE136" s="313">
        <v>0</v>
      </c>
      <c r="AF136" s="300"/>
      <c r="AG136" s="313">
        <v>0</v>
      </c>
      <c r="AH136" s="300"/>
      <c r="AI136" s="313">
        <v>0</v>
      </c>
      <c r="AJ136" s="300"/>
      <c r="AK136" s="313">
        <v>0</v>
      </c>
      <c r="AL136" s="300"/>
      <c r="AM136" s="313">
        <v>0</v>
      </c>
      <c r="AN136" s="300"/>
      <c r="AO136" s="311">
        <f t="shared" si="21"/>
        <v>0</v>
      </c>
      <c r="AP136" s="297"/>
      <c r="AQ136" s="262"/>
    </row>
    <row r="137" spans="1:43" s="312" customFormat="1" ht="18.75" x14ac:dyDescent="0.3">
      <c r="A137" s="297"/>
      <c r="B137" s="298" t="s">
        <v>472</v>
      </c>
      <c r="C137" s="326" t="s">
        <v>113</v>
      </c>
      <c r="D137" s="310"/>
      <c r="E137" s="313">
        <v>0</v>
      </c>
      <c r="F137" s="300"/>
      <c r="G137" s="313">
        <v>0</v>
      </c>
      <c r="H137" s="300"/>
      <c r="I137" s="313">
        <v>0</v>
      </c>
      <c r="J137" s="300"/>
      <c r="K137" s="313">
        <v>0</v>
      </c>
      <c r="L137" s="300"/>
      <c r="M137" s="313">
        <v>0</v>
      </c>
      <c r="N137" s="300"/>
      <c r="O137" s="313">
        <v>0</v>
      </c>
      <c r="P137" s="300"/>
      <c r="Q137" s="313">
        <v>0</v>
      </c>
      <c r="R137" s="300"/>
      <c r="S137" s="313">
        <v>0</v>
      </c>
      <c r="T137" s="300"/>
      <c r="U137" s="313">
        <v>0</v>
      </c>
      <c r="V137" s="300"/>
      <c r="W137" s="313">
        <v>0</v>
      </c>
      <c r="X137" s="300"/>
      <c r="Y137" s="313">
        <v>0</v>
      </c>
      <c r="Z137" s="300"/>
      <c r="AA137" s="313">
        <v>0</v>
      </c>
      <c r="AB137" s="300"/>
      <c r="AC137" s="313">
        <v>0</v>
      </c>
      <c r="AD137" s="300"/>
      <c r="AE137" s="313">
        <v>0</v>
      </c>
      <c r="AF137" s="300"/>
      <c r="AG137" s="313">
        <v>0</v>
      </c>
      <c r="AH137" s="300"/>
      <c r="AI137" s="313">
        <v>0</v>
      </c>
      <c r="AJ137" s="300"/>
      <c r="AK137" s="313">
        <v>0</v>
      </c>
      <c r="AL137" s="300"/>
      <c r="AM137" s="313">
        <v>0</v>
      </c>
      <c r="AN137" s="300"/>
      <c r="AO137" s="311">
        <f t="shared" si="21"/>
        <v>0</v>
      </c>
      <c r="AP137" s="297"/>
      <c r="AQ137" s="262"/>
    </row>
    <row r="138" spans="1:43" s="312" customFormat="1" ht="19.5" thickBot="1" x14ac:dyDescent="0.35">
      <c r="A138" s="297"/>
      <c r="B138" s="298" t="s">
        <v>473</v>
      </c>
      <c r="C138" s="326" t="s">
        <v>114</v>
      </c>
      <c r="D138" s="310"/>
      <c r="E138" s="313">
        <v>0</v>
      </c>
      <c r="F138" s="300"/>
      <c r="G138" s="313">
        <v>0</v>
      </c>
      <c r="H138" s="300"/>
      <c r="I138" s="313">
        <v>0</v>
      </c>
      <c r="J138" s="300"/>
      <c r="K138" s="313">
        <v>0</v>
      </c>
      <c r="L138" s="300"/>
      <c r="M138" s="313">
        <v>0</v>
      </c>
      <c r="N138" s="300"/>
      <c r="O138" s="313">
        <v>0</v>
      </c>
      <c r="P138" s="300"/>
      <c r="Q138" s="313">
        <v>0</v>
      </c>
      <c r="R138" s="300"/>
      <c r="S138" s="313">
        <v>0</v>
      </c>
      <c r="T138" s="300"/>
      <c r="U138" s="313">
        <v>0</v>
      </c>
      <c r="V138" s="300"/>
      <c r="W138" s="313">
        <v>0</v>
      </c>
      <c r="X138" s="300"/>
      <c r="Y138" s="313">
        <v>0</v>
      </c>
      <c r="Z138" s="300"/>
      <c r="AA138" s="313">
        <v>0</v>
      </c>
      <c r="AB138" s="300"/>
      <c r="AC138" s="313">
        <v>0</v>
      </c>
      <c r="AD138" s="300"/>
      <c r="AE138" s="313">
        <v>0</v>
      </c>
      <c r="AF138" s="300"/>
      <c r="AG138" s="313">
        <v>0</v>
      </c>
      <c r="AH138" s="300"/>
      <c r="AI138" s="313">
        <v>0</v>
      </c>
      <c r="AJ138" s="300"/>
      <c r="AK138" s="313">
        <v>0</v>
      </c>
      <c r="AL138" s="300"/>
      <c r="AM138" s="313">
        <v>0</v>
      </c>
      <c r="AN138" s="300"/>
      <c r="AO138" s="311">
        <f t="shared" si="21"/>
        <v>0</v>
      </c>
      <c r="AP138" s="297"/>
      <c r="AQ138" s="262"/>
    </row>
    <row r="139" spans="1:43" s="312" customFormat="1" ht="19.5" thickBot="1" x14ac:dyDescent="0.35">
      <c r="A139" s="297"/>
      <c r="B139" s="314" t="s">
        <v>489</v>
      </c>
      <c r="C139" s="315"/>
      <c r="D139" s="316"/>
      <c r="E139" s="317">
        <f>SUM(E133:E138)</f>
        <v>0</v>
      </c>
      <c r="F139" s="318"/>
      <c r="G139" s="317">
        <f>SUM(G133:G138)</f>
        <v>0</v>
      </c>
      <c r="H139" s="318"/>
      <c r="I139" s="317">
        <f>SUM(I133:I138)</f>
        <v>0</v>
      </c>
      <c r="J139" s="318"/>
      <c r="K139" s="317">
        <f>SUM(K133:K138)</f>
        <v>0</v>
      </c>
      <c r="L139" s="318"/>
      <c r="M139" s="317">
        <f>SUM(M133:M138)</f>
        <v>0</v>
      </c>
      <c r="N139" s="318"/>
      <c r="O139" s="317">
        <f>SUM(O133:O138)</f>
        <v>0</v>
      </c>
      <c r="P139" s="318"/>
      <c r="Q139" s="317">
        <f>SUM(Q133:Q138)</f>
        <v>0</v>
      </c>
      <c r="R139" s="318"/>
      <c r="S139" s="317">
        <f>SUM(S133:S138)</f>
        <v>0</v>
      </c>
      <c r="T139" s="318"/>
      <c r="U139" s="317">
        <f>SUM(U133:U138)</f>
        <v>0</v>
      </c>
      <c r="V139" s="318"/>
      <c r="W139" s="317">
        <f>SUM(W133:W138)</f>
        <v>0</v>
      </c>
      <c r="X139" s="318"/>
      <c r="Y139" s="317">
        <f>SUM(Y133:Y138)</f>
        <v>0</v>
      </c>
      <c r="Z139" s="318"/>
      <c r="AA139" s="317">
        <f>SUM(AA133:AA138)</f>
        <v>0</v>
      </c>
      <c r="AB139" s="318"/>
      <c r="AC139" s="317">
        <f>SUM(AC133:AC138)</f>
        <v>0</v>
      </c>
      <c r="AD139" s="318"/>
      <c r="AE139" s="317">
        <f>SUM(AE133:AE138)</f>
        <v>0</v>
      </c>
      <c r="AF139" s="318"/>
      <c r="AG139" s="317">
        <f>SUM(AG133:AG138)</f>
        <v>0</v>
      </c>
      <c r="AH139" s="318"/>
      <c r="AI139" s="317">
        <f>SUM(AI133:AI138)</f>
        <v>0</v>
      </c>
      <c r="AJ139" s="318"/>
      <c r="AK139" s="317">
        <f>SUM(AK133:AK138)</f>
        <v>0</v>
      </c>
      <c r="AL139" s="318"/>
      <c r="AM139" s="317">
        <f>SUM(AM133:AM138)</f>
        <v>0</v>
      </c>
      <c r="AN139" s="318"/>
      <c r="AO139" s="317">
        <f>SUM(AO133:AO138)</f>
        <v>0</v>
      </c>
      <c r="AP139" s="297"/>
      <c r="AQ139" s="262"/>
    </row>
    <row r="140" spans="1:43" s="312" customFormat="1" ht="18.75" x14ac:dyDescent="0.3">
      <c r="A140" s="297"/>
      <c r="B140" s="298"/>
      <c r="C140" s="309"/>
      <c r="D140" s="297"/>
      <c r="E140" s="311"/>
      <c r="F140" s="319"/>
      <c r="G140" s="311"/>
      <c r="H140" s="319"/>
      <c r="I140" s="311"/>
      <c r="J140" s="319"/>
      <c r="K140" s="311"/>
      <c r="L140" s="319"/>
      <c r="M140" s="311"/>
      <c r="N140" s="319"/>
      <c r="O140" s="311"/>
      <c r="P140" s="319"/>
      <c r="Q140" s="311"/>
      <c r="R140" s="319"/>
      <c r="S140" s="311"/>
      <c r="T140" s="319"/>
      <c r="U140" s="311"/>
      <c r="V140" s="319"/>
      <c r="W140" s="311"/>
      <c r="X140" s="319"/>
      <c r="Y140" s="311"/>
      <c r="Z140" s="319"/>
      <c r="AA140" s="311"/>
      <c r="AB140" s="319"/>
      <c r="AC140" s="311"/>
      <c r="AD140" s="319"/>
      <c r="AE140" s="311"/>
      <c r="AF140" s="319"/>
      <c r="AG140" s="311"/>
      <c r="AH140" s="319"/>
      <c r="AI140" s="311"/>
      <c r="AJ140" s="319"/>
      <c r="AK140" s="311"/>
      <c r="AL140" s="319"/>
      <c r="AM140" s="311"/>
      <c r="AN140" s="319"/>
      <c r="AO140" s="311"/>
      <c r="AP140" s="297"/>
      <c r="AQ140" s="262"/>
    </row>
    <row r="141" spans="1:43" s="312" customFormat="1" ht="18.75" x14ac:dyDescent="0.3">
      <c r="A141" s="297"/>
      <c r="B141" s="298" t="s">
        <v>124</v>
      </c>
      <c r="C141" s="309"/>
      <c r="D141" s="310"/>
      <c r="E141" s="311"/>
      <c r="F141" s="319"/>
      <c r="G141" s="311"/>
      <c r="H141" s="319"/>
      <c r="I141" s="311"/>
      <c r="J141" s="319"/>
      <c r="K141" s="311"/>
      <c r="L141" s="319"/>
      <c r="M141" s="311"/>
      <c r="N141" s="319"/>
      <c r="O141" s="311"/>
      <c r="P141" s="319"/>
      <c r="Q141" s="311"/>
      <c r="R141" s="319"/>
      <c r="S141" s="311"/>
      <c r="T141" s="319"/>
      <c r="U141" s="311"/>
      <c r="V141" s="319"/>
      <c r="W141" s="311"/>
      <c r="X141" s="319"/>
      <c r="Y141" s="311"/>
      <c r="Z141" s="319"/>
      <c r="AA141" s="311"/>
      <c r="AB141" s="319"/>
      <c r="AC141" s="311"/>
      <c r="AD141" s="319"/>
      <c r="AE141" s="311"/>
      <c r="AF141" s="319"/>
      <c r="AG141" s="311"/>
      <c r="AH141" s="319"/>
      <c r="AI141" s="311"/>
      <c r="AJ141" s="319"/>
      <c r="AK141" s="311"/>
      <c r="AL141" s="319"/>
      <c r="AM141" s="311"/>
      <c r="AN141" s="319"/>
      <c r="AO141" s="311"/>
      <c r="AP141" s="297"/>
      <c r="AQ141" s="262"/>
    </row>
    <row r="142" spans="1:43" s="312" customFormat="1" ht="18.75" x14ac:dyDescent="0.3">
      <c r="A142" s="297"/>
      <c r="B142" s="298" t="s">
        <v>467</v>
      </c>
      <c r="C142" s="326" t="s">
        <v>108</v>
      </c>
      <c r="D142" s="310"/>
      <c r="E142" s="313">
        <v>0</v>
      </c>
      <c r="F142" s="300"/>
      <c r="G142" s="299">
        <v>0</v>
      </c>
      <c r="H142" s="300"/>
      <c r="I142" s="299">
        <v>0</v>
      </c>
      <c r="J142" s="300"/>
      <c r="K142" s="313">
        <v>0</v>
      </c>
      <c r="L142" s="300"/>
      <c r="M142" s="299">
        <v>0</v>
      </c>
      <c r="N142" s="300"/>
      <c r="O142" s="313">
        <v>0</v>
      </c>
      <c r="P142" s="300"/>
      <c r="Q142" s="299">
        <v>0</v>
      </c>
      <c r="R142" s="300"/>
      <c r="S142" s="299">
        <v>0</v>
      </c>
      <c r="T142" s="300"/>
      <c r="U142" s="299">
        <v>0</v>
      </c>
      <c r="V142" s="300"/>
      <c r="W142" s="313">
        <v>0</v>
      </c>
      <c r="X142" s="300"/>
      <c r="Y142" s="313">
        <v>0</v>
      </c>
      <c r="Z142" s="300"/>
      <c r="AA142" s="299">
        <v>0</v>
      </c>
      <c r="AB142" s="300"/>
      <c r="AC142" s="299">
        <v>0</v>
      </c>
      <c r="AD142" s="300"/>
      <c r="AE142" s="299">
        <v>0</v>
      </c>
      <c r="AF142" s="300"/>
      <c r="AG142" s="299">
        <v>0</v>
      </c>
      <c r="AH142" s="300"/>
      <c r="AI142" s="313">
        <v>0</v>
      </c>
      <c r="AJ142" s="300"/>
      <c r="AK142" s="299">
        <v>0</v>
      </c>
      <c r="AL142" s="300"/>
      <c r="AM142" s="299">
        <v>0</v>
      </c>
      <c r="AN142" s="300"/>
      <c r="AO142" s="311">
        <f t="shared" ref="AO142:AO147" si="22">E142+K142+G142+I142+M142+O142+Q142+S142+U142+W142+Y142+AA142+AC142+AE142+AG142+AI142+AK142+AM142</f>
        <v>0</v>
      </c>
      <c r="AP142" s="297"/>
      <c r="AQ142" s="262"/>
    </row>
    <row r="143" spans="1:43" s="312" customFormat="1" ht="18.75" x14ac:dyDescent="0.3">
      <c r="A143" s="297"/>
      <c r="B143" s="298" t="s">
        <v>469</v>
      </c>
      <c r="C143" s="326" t="s">
        <v>109</v>
      </c>
      <c r="D143" s="310"/>
      <c r="E143" s="313">
        <v>0</v>
      </c>
      <c r="F143" s="300"/>
      <c r="G143" s="299">
        <v>0</v>
      </c>
      <c r="H143" s="300"/>
      <c r="I143" s="299">
        <v>0</v>
      </c>
      <c r="J143" s="300"/>
      <c r="K143" s="313">
        <v>0</v>
      </c>
      <c r="L143" s="300"/>
      <c r="M143" s="299">
        <v>0</v>
      </c>
      <c r="N143" s="300"/>
      <c r="O143" s="313">
        <v>0</v>
      </c>
      <c r="P143" s="300"/>
      <c r="Q143" s="299">
        <v>0</v>
      </c>
      <c r="R143" s="300"/>
      <c r="S143" s="299">
        <v>0</v>
      </c>
      <c r="T143" s="300"/>
      <c r="U143" s="299">
        <v>0</v>
      </c>
      <c r="V143" s="300"/>
      <c r="W143" s="313">
        <v>0</v>
      </c>
      <c r="X143" s="300"/>
      <c r="Y143" s="313">
        <v>0</v>
      </c>
      <c r="Z143" s="300"/>
      <c r="AA143" s="299">
        <v>0</v>
      </c>
      <c r="AB143" s="300"/>
      <c r="AC143" s="299">
        <v>0</v>
      </c>
      <c r="AD143" s="300"/>
      <c r="AE143" s="299">
        <v>0</v>
      </c>
      <c r="AF143" s="300"/>
      <c r="AG143" s="299">
        <v>0</v>
      </c>
      <c r="AH143" s="300"/>
      <c r="AI143" s="313">
        <v>0</v>
      </c>
      <c r="AJ143" s="300"/>
      <c r="AK143" s="299">
        <v>0</v>
      </c>
      <c r="AL143" s="300"/>
      <c r="AM143" s="299">
        <v>0</v>
      </c>
      <c r="AN143" s="300"/>
      <c r="AO143" s="311">
        <f t="shared" si="22"/>
        <v>0</v>
      </c>
      <c r="AP143" s="297"/>
      <c r="AQ143" s="262"/>
    </row>
    <row r="144" spans="1:43" s="312" customFormat="1" ht="37.5" x14ac:dyDescent="0.3">
      <c r="A144" s="297"/>
      <c r="B144" s="298" t="s">
        <v>470</v>
      </c>
      <c r="C144" s="326" t="s">
        <v>486</v>
      </c>
      <c r="D144" s="310"/>
      <c r="E144" s="313">
        <v>0</v>
      </c>
      <c r="F144" s="300"/>
      <c r="G144" s="313">
        <v>0</v>
      </c>
      <c r="H144" s="300"/>
      <c r="I144" s="313">
        <v>0</v>
      </c>
      <c r="J144" s="300"/>
      <c r="K144" s="313">
        <v>0</v>
      </c>
      <c r="L144" s="300"/>
      <c r="M144" s="313">
        <v>0</v>
      </c>
      <c r="N144" s="300"/>
      <c r="O144" s="313">
        <v>0</v>
      </c>
      <c r="P144" s="300"/>
      <c r="Q144" s="313">
        <v>0</v>
      </c>
      <c r="R144" s="300"/>
      <c r="S144" s="313">
        <v>0</v>
      </c>
      <c r="T144" s="300"/>
      <c r="U144" s="313">
        <v>0</v>
      </c>
      <c r="V144" s="300"/>
      <c r="W144" s="313">
        <v>0</v>
      </c>
      <c r="X144" s="300"/>
      <c r="Y144" s="313">
        <v>0</v>
      </c>
      <c r="Z144" s="300"/>
      <c r="AA144" s="313">
        <v>0</v>
      </c>
      <c r="AB144" s="300"/>
      <c r="AC144" s="313">
        <v>0</v>
      </c>
      <c r="AD144" s="300"/>
      <c r="AE144" s="313">
        <v>0</v>
      </c>
      <c r="AF144" s="300"/>
      <c r="AG144" s="313">
        <v>0</v>
      </c>
      <c r="AH144" s="300"/>
      <c r="AI144" s="313">
        <v>0</v>
      </c>
      <c r="AJ144" s="300"/>
      <c r="AK144" s="313">
        <v>0</v>
      </c>
      <c r="AL144" s="300"/>
      <c r="AM144" s="313">
        <v>0</v>
      </c>
      <c r="AN144" s="300"/>
      <c r="AO144" s="311">
        <f t="shared" si="22"/>
        <v>0</v>
      </c>
      <c r="AP144" s="297"/>
      <c r="AQ144" s="262"/>
    </row>
    <row r="145" spans="1:43" s="312" customFormat="1" ht="18.75" x14ac:dyDescent="0.3">
      <c r="A145" s="297"/>
      <c r="B145" s="298" t="s">
        <v>471</v>
      </c>
      <c r="C145" s="326" t="s">
        <v>112</v>
      </c>
      <c r="D145" s="310"/>
      <c r="E145" s="313">
        <v>0</v>
      </c>
      <c r="F145" s="300"/>
      <c r="G145" s="313">
        <v>0</v>
      </c>
      <c r="H145" s="300"/>
      <c r="I145" s="313">
        <v>0</v>
      </c>
      <c r="J145" s="300"/>
      <c r="K145" s="313">
        <v>0</v>
      </c>
      <c r="L145" s="300"/>
      <c r="M145" s="313">
        <v>0</v>
      </c>
      <c r="N145" s="300"/>
      <c r="O145" s="313">
        <v>0</v>
      </c>
      <c r="P145" s="300"/>
      <c r="Q145" s="313">
        <v>0</v>
      </c>
      <c r="R145" s="300"/>
      <c r="S145" s="313">
        <v>0</v>
      </c>
      <c r="T145" s="300"/>
      <c r="U145" s="313">
        <v>0</v>
      </c>
      <c r="V145" s="300"/>
      <c r="W145" s="313">
        <v>0</v>
      </c>
      <c r="X145" s="300"/>
      <c r="Y145" s="313">
        <v>0</v>
      </c>
      <c r="Z145" s="300"/>
      <c r="AA145" s="313">
        <v>0</v>
      </c>
      <c r="AB145" s="300"/>
      <c r="AC145" s="313">
        <v>0</v>
      </c>
      <c r="AD145" s="300"/>
      <c r="AE145" s="313">
        <v>0</v>
      </c>
      <c r="AF145" s="300"/>
      <c r="AG145" s="313">
        <v>0</v>
      </c>
      <c r="AH145" s="300"/>
      <c r="AI145" s="313">
        <v>0</v>
      </c>
      <c r="AJ145" s="300"/>
      <c r="AK145" s="313">
        <v>0</v>
      </c>
      <c r="AL145" s="300"/>
      <c r="AM145" s="313">
        <v>0</v>
      </c>
      <c r="AN145" s="300"/>
      <c r="AO145" s="311">
        <f t="shared" si="22"/>
        <v>0</v>
      </c>
      <c r="AP145" s="297"/>
      <c r="AQ145" s="262"/>
    </row>
    <row r="146" spans="1:43" s="312" customFormat="1" ht="18.75" x14ac:dyDescent="0.3">
      <c r="A146" s="297"/>
      <c r="B146" s="298" t="s">
        <v>480</v>
      </c>
      <c r="C146" s="326" t="s">
        <v>113</v>
      </c>
      <c r="D146" s="310"/>
      <c r="E146" s="313">
        <v>0</v>
      </c>
      <c r="F146" s="300"/>
      <c r="G146" s="313">
        <v>0</v>
      </c>
      <c r="H146" s="300"/>
      <c r="I146" s="313">
        <v>0</v>
      </c>
      <c r="J146" s="300"/>
      <c r="K146" s="313">
        <v>0</v>
      </c>
      <c r="L146" s="300"/>
      <c r="M146" s="313">
        <v>0</v>
      </c>
      <c r="N146" s="300"/>
      <c r="O146" s="313">
        <v>0</v>
      </c>
      <c r="P146" s="300"/>
      <c r="Q146" s="313">
        <v>0</v>
      </c>
      <c r="R146" s="300"/>
      <c r="S146" s="313">
        <v>0</v>
      </c>
      <c r="T146" s="300"/>
      <c r="U146" s="313">
        <v>0</v>
      </c>
      <c r="V146" s="300"/>
      <c r="W146" s="313">
        <v>0</v>
      </c>
      <c r="X146" s="300"/>
      <c r="Y146" s="313">
        <v>0</v>
      </c>
      <c r="Z146" s="300"/>
      <c r="AA146" s="313">
        <v>0</v>
      </c>
      <c r="AB146" s="300"/>
      <c r="AC146" s="313">
        <v>0</v>
      </c>
      <c r="AD146" s="300"/>
      <c r="AE146" s="313">
        <v>0</v>
      </c>
      <c r="AF146" s="300"/>
      <c r="AG146" s="313">
        <v>0</v>
      </c>
      <c r="AH146" s="300"/>
      <c r="AI146" s="313">
        <v>0</v>
      </c>
      <c r="AJ146" s="300"/>
      <c r="AK146" s="313">
        <v>0</v>
      </c>
      <c r="AL146" s="300"/>
      <c r="AM146" s="313">
        <v>0</v>
      </c>
      <c r="AN146" s="300"/>
      <c r="AO146" s="311">
        <f t="shared" si="22"/>
        <v>0</v>
      </c>
      <c r="AP146" s="297"/>
      <c r="AQ146" s="262"/>
    </row>
    <row r="147" spans="1:43" s="312" customFormat="1" ht="19.5" thickBot="1" x14ac:dyDescent="0.35">
      <c r="A147" s="297"/>
      <c r="B147" s="298" t="s">
        <v>473</v>
      </c>
      <c r="C147" s="326" t="s">
        <v>114</v>
      </c>
      <c r="D147" s="310"/>
      <c r="E147" s="313">
        <v>0</v>
      </c>
      <c r="F147" s="300"/>
      <c r="G147" s="313">
        <v>0</v>
      </c>
      <c r="H147" s="300"/>
      <c r="I147" s="313">
        <v>0</v>
      </c>
      <c r="J147" s="300"/>
      <c r="K147" s="313">
        <v>0</v>
      </c>
      <c r="L147" s="300"/>
      <c r="M147" s="313">
        <v>0</v>
      </c>
      <c r="N147" s="300"/>
      <c r="O147" s="313">
        <v>0</v>
      </c>
      <c r="P147" s="300"/>
      <c r="Q147" s="313">
        <v>0</v>
      </c>
      <c r="R147" s="300"/>
      <c r="S147" s="313">
        <v>0</v>
      </c>
      <c r="T147" s="300"/>
      <c r="U147" s="313">
        <v>0</v>
      </c>
      <c r="V147" s="300"/>
      <c r="W147" s="313">
        <v>0</v>
      </c>
      <c r="X147" s="300"/>
      <c r="Y147" s="313">
        <v>0</v>
      </c>
      <c r="Z147" s="300"/>
      <c r="AA147" s="313">
        <v>0</v>
      </c>
      <c r="AB147" s="300"/>
      <c r="AC147" s="313">
        <v>0</v>
      </c>
      <c r="AD147" s="300"/>
      <c r="AE147" s="313">
        <v>0</v>
      </c>
      <c r="AF147" s="300"/>
      <c r="AG147" s="313">
        <v>0</v>
      </c>
      <c r="AH147" s="300"/>
      <c r="AI147" s="313">
        <v>0</v>
      </c>
      <c r="AJ147" s="300"/>
      <c r="AK147" s="313">
        <v>0</v>
      </c>
      <c r="AL147" s="300"/>
      <c r="AM147" s="313">
        <v>0</v>
      </c>
      <c r="AN147" s="300"/>
      <c r="AO147" s="311">
        <f t="shared" si="22"/>
        <v>0</v>
      </c>
      <c r="AP147" s="297"/>
      <c r="AQ147" s="262"/>
    </row>
    <row r="148" spans="1:43" s="312" customFormat="1" ht="19.5" thickBot="1" x14ac:dyDescent="0.35">
      <c r="A148" s="297"/>
      <c r="B148" s="314" t="s">
        <v>490</v>
      </c>
      <c r="C148" s="315"/>
      <c r="D148" s="316"/>
      <c r="E148" s="317">
        <f>SUM(E142:E147)</f>
        <v>0</v>
      </c>
      <c r="F148" s="318"/>
      <c r="G148" s="317">
        <f>SUM(G142:G147)</f>
        <v>0</v>
      </c>
      <c r="H148" s="318"/>
      <c r="I148" s="317">
        <f>SUM(I142:I147)</f>
        <v>0</v>
      </c>
      <c r="J148" s="318"/>
      <c r="K148" s="317">
        <f>SUM(K142:K147)</f>
        <v>0</v>
      </c>
      <c r="L148" s="318"/>
      <c r="M148" s="317">
        <f>SUM(M142:M147)</f>
        <v>0</v>
      </c>
      <c r="N148" s="318"/>
      <c r="O148" s="317">
        <f>SUM(O142:O147)</f>
        <v>0</v>
      </c>
      <c r="P148" s="318"/>
      <c r="Q148" s="317">
        <f>SUM(Q142:Q147)</f>
        <v>0</v>
      </c>
      <c r="R148" s="318"/>
      <c r="S148" s="317">
        <f>SUM(S142:S147)</f>
        <v>0</v>
      </c>
      <c r="T148" s="318"/>
      <c r="U148" s="317">
        <f>SUM(U142:U147)</f>
        <v>0</v>
      </c>
      <c r="V148" s="318"/>
      <c r="W148" s="317">
        <f>SUM(W142:W147)</f>
        <v>0</v>
      </c>
      <c r="X148" s="318"/>
      <c r="Y148" s="317">
        <f>SUM(Y142:Y147)</f>
        <v>0</v>
      </c>
      <c r="Z148" s="318"/>
      <c r="AA148" s="317">
        <f>SUM(AA142:AA147)</f>
        <v>0</v>
      </c>
      <c r="AB148" s="318"/>
      <c r="AC148" s="317">
        <f>SUM(AC142:AC147)</f>
        <v>0</v>
      </c>
      <c r="AD148" s="318"/>
      <c r="AE148" s="317">
        <f>SUM(AE142:AE147)</f>
        <v>0</v>
      </c>
      <c r="AF148" s="318"/>
      <c r="AG148" s="317">
        <f>SUM(AG142:AG147)</f>
        <v>0</v>
      </c>
      <c r="AH148" s="318"/>
      <c r="AI148" s="317">
        <f>SUM(AI142:AI147)</f>
        <v>0</v>
      </c>
      <c r="AJ148" s="318"/>
      <c r="AK148" s="317">
        <f>SUM(AK142:AK147)</f>
        <v>0</v>
      </c>
      <c r="AL148" s="318"/>
      <c r="AM148" s="317">
        <f>SUM(AM142:AM147)</f>
        <v>0</v>
      </c>
      <c r="AN148" s="318"/>
      <c r="AO148" s="317">
        <f>SUM(AO142:AO147)</f>
        <v>0</v>
      </c>
      <c r="AP148" s="297"/>
      <c r="AQ148" s="262"/>
    </row>
    <row r="149" spans="1:43" s="312" customFormat="1" ht="18.75" x14ac:dyDescent="0.3">
      <c r="A149" s="297"/>
      <c r="B149" s="298"/>
      <c r="C149" s="309"/>
      <c r="D149" s="337"/>
      <c r="E149" s="311"/>
      <c r="F149" s="319"/>
      <c r="G149" s="311"/>
      <c r="H149" s="319"/>
      <c r="I149" s="311"/>
      <c r="J149" s="319"/>
      <c r="K149" s="311"/>
      <c r="L149" s="319"/>
      <c r="M149" s="311"/>
      <c r="N149" s="319"/>
      <c r="O149" s="311"/>
      <c r="P149" s="319"/>
      <c r="Q149" s="311"/>
      <c r="R149" s="319"/>
      <c r="S149" s="311"/>
      <c r="T149" s="319"/>
      <c r="U149" s="311"/>
      <c r="V149" s="319"/>
      <c r="W149" s="311"/>
      <c r="X149" s="319"/>
      <c r="Y149" s="311"/>
      <c r="Z149" s="319"/>
      <c r="AA149" s="311"/>
      <c r="AB149" s="319"/>
      <c r="AC149" s="311"/>
      <c r="AD149" s="319"/>
      <c r="AE149" s="311"/>
      <c r="AF149" s="319"/>
      <c r="AG149" s="311"/>
      <c r="AH149" s="319"/>
      <c r="AI149" s="311"/>
      <c r="AJ149" s="319"/>
      <c r="AK149" s="311"/>
      <c r="AL149" s="319"/>
      <c r="AM149" s="311"/>
      <c r="AN149" s="319"/>
      <c r="AO149" s="311"/>
      <c r="AP149" s="297"/>
      <c r="AQ149" s="262"/>
    </row>
    <row r="150" spans="1:43" s="312" customFormat="1" ht="18.75" x14ac:dyDescent="0.3">
      <c r="A150" s="297"/>
      <c r="B150" s="298" t="s">
        <v>125</v>
      </c>
      <c r="C150" s="309"/>
      <c r="D150" s="297"/>
      <c r="E150" s="311"/>
      <c r="F150" s="319"/>
      <c r="G150" s="311"/>
      <c r="H150" s="319"/>
      <c r="I150" s="311"/>
      <c r="J150" s="319"/>
      <c r="K150" s="311"/>
      <c r="L150" s="319"/>
      <c r="M150" s="311"/>
      <c r="N150" s="319"/>
      <c r="O150" s="311"/>
      <c r="P150" s="319"/>
      <c r="Q150" s="311"/>
      <c r="R150" s="319"/>
      <c r="S150" s="311"/>
      <c r="T150" s="319"/>
      <c r="U150" s="311"/>
      <c r="V150" s="319"/>
      <c r="W150" s="311"/>
      <c r="X150" s="319"/>
      <c r="Y150" s="311"/>
      <c r="Z150" s="319"/>
      <c r="AA150" s="311"/>
      <c r="AB150" s="319"/>
      <c r="AC150" s="311"/>
      <c r="AD150" s="319"/>
      <c r="AE150" s="311"/>
      <c r="AF150" s="319"/>
      <c r="AG150" s="311"/>
      <c r="AH150" s="319"/>
      <c r="AI150" s="311"/>
      <c r="AJ150" s="319"/>
      <c r="AK150" s="311"/>
      <c r="AL150" s="319"/>
      <c r="AM150" s="311"/>
      <c r="AN150" s="319"/>
      <c r="AO150" s="311"/>
      <c r="AP150" s="297"/>
      <c r="AQ150" s="262"/>
    </row>
    <row r="151" spans="1:43" s="312" customFormat="1" ht="18.75" x14ac:dyDescent="0.3">
      <c r="A151" s="297"/>
      <c r="B151" s="298" t="s">
        <v>467</v>
      </c>
      <c r="C151" s="326" t="s">
        <v>108</v>
      </c>
      <c r="D151" s="297"/>
      <c r="E151" s="313">
        <v>0</v>
      </c>
      <c r="F151" s="300"/>
      <c r="G151" s="299">
        <v>0</v>
      </c>
      <c r="H151" s="300"/>
      <c r="I151" s="299">
        <v>0</v>
      </c>
      <c r="J151" s="300"/>
      <c r="K151" s="313">
        <v>0</v>
      </c>
      <c r="L151" s="300"/>
      <c r="M151" s="299">
        <v>0</v>
      </c>
      <c r="N151" s="300"/>
      <c r="O151" s="313">
        <v>0</v>
      </c>
      <c r="P151" s="300"/>
      <c r="Q151" s="299">
        <v>0</v>
      </c>
      <c r="R151" s="300"/>
      <c r="S151" s="299">
        <v>0</v>
      </c>
      <c r="T151" s="300"/>
      <c r="U151" s="299">
        <v>0</v>
      </c>
      <c r="V151" s="300"/>
      <c r="W151" s="313">
        <v>0</v>
      </c>
      <c r="X151" s="300"/>
      <c r="Y151" s="313">
        <v>0</v>
      </c>
      <c r="Z151" s="300"/>
      <c r="AA151" s="299">
        <v>0</v>
      </c>
      <c r="AB151" s="300"/>
      <c r="AC151" s="299">
        <v>0</v>
      </c>
      <c r="AD151" s="300"/>
      <c r="AE151" s="299">
        <v>0</v>
      </c>
      <c r="AF151" s="300"/>
      <c r="AG151" s="299">
        <v>0</v>
      </c>
      <c r="AH151" s="300"/>
      <c r="AI151" s="299">
        <v>0</v>
      </c>
      <c r="AJ151" s="300"/>
      <c r="AK151" s="299">
        <v>0</v>
      </c>
      <c r="AL151" s="300"/>
      <c r="AM151" s="299">
        <v>0</v>
      </c>
      <c r="AN151" s="300"/>
      <c r="AO151" s="311">
        <f t="shared" ref="AO151:AO156" si="23">E151+K151+G151+I151+M151+O151+Q151+S151+U151+W151+Y151+AA151+AC151+AE151+AG151+AI151+AK151+AM151</f>
        <v>0</v>
      </c>
      <c r="AP151" s="297"/>
      <c r="AQ151" s="262"/>
    </row>
    <row r="152" spans="1:43" s="312" customFormat="1" ht="18.75" x14ac:dyDescent="0.3">
      <c r="A152" s="297"/>
      <c r="B152" s="298" t="s">
        <v>469</v>
      </c>
      <c r="C152" s="326" t="s">
        <v>109</v>
      </c>
      <c r="D152" s="297"/>
      <c r="E152" s="313">
        <v>0</v>
      </c>
      <c r="F152" s="300"/>
      <c r="G152" s="299">
        <v>0</v>
      </c>
      <c r="H152" s="300"/>
      <c r="I152" s="299">
        <v>0</v>
      </c>
      <c r="J152" s="300"/>
      <c r="K152" s="313">
        <v>0</v>
      </c>
      <c r="L152" s="300"/>
      <c r="M152" s="299">
        <v>0</v>
      </c>
      <c r="N152" s="300"/>
      <c r="O152" s="313">
        <v>0</v>
      </c>
      <c r="P152" s="300"/>
      <c r="Q152" s="299">
        <v>0</v>
      </c>
      <c r="R152" s="300"/>
      <c r="S152" s="299">
        <v>0</v>
      </c>
      <c r="T152" s="300"/>
      <c r="U152" s="299">
        <v>0</v>
      </c>
      <c r="V152" s="300"/>
      <c r="W152" s="313">
        <v>0</v>
      </c>
      <c r="X152" s="300"/>
      <c r="Y152" s="313">
        <v>0</v>
      </c>
      <c r="Z152" s="300"/>
      <c r="AA152" s="299">
        <v>0</v>
      </c>
      <c r="AB152" s="300"/>
      <c r="AC152" s="299">
        <v>0</v>
      </c>
      <c r="AD152" s="300"/>
      <c r="AE152" s="299">
        <v>0</v>
      </c>
      <c r="AF152" s="300"/>
      <c r="AG152" s="299">
        <v>0</v>
      </c>
      <c r="AH152" s="300"/>
      <c r="AI152" s="299">
        <v>0</v>
      </c>
      <c r="AJ152" s="300"/>
      <c r="AK152" s="299">
        <v>0</v>
      </c>
      <c r="AL152" s="300"/>
      <c r="AM152" s="299">
        <v>0</v>
      </c>
      <c r="AN152" s="300"/>
      <c r="AO152" s="311">
        <f t="shared" si="23"/>
        <v>0</v>
      </c>
      <c r="AP152" s="297"/>
      <c r="AQ152" s="262"/>
    </row>
    <row r="153" spans="1:43" s="312" customFormat="1" ht="37.5" x14ac:dyDescent="0.3">
      <c r="A153" s="297"/>
      <c r="B153" s="298" t="s">
        <v>470</v>
      </c>
      <c r="C153" s="326" t="s">
        <v>486</v>
      </c>
      <c r="D153" s="297"/>
      <c r="E153" s="313">
        <v>0</v>
      </c>
      <c r="F153" s="300"/>
      <c r="G153" s="313">
        <v>0</v>
      </c>
      <c r="H153" s="300"/>
      <c r="I153" s="313">
        <v>0</v>
      </c>
      <c r="J153" s="300"/>
      <c r="K153" s="313">
        <v>0</v>
      </c>
      <c r="L153" s="300"/>
      <c r="M153" s="313">
        <v>0</v>
      </c>
      <c r="N153" s="300"/>
      <c r="O153" s="313">
        <v>0</v>
      </c>
      <c r="P153" s="300"/>
      <c r="Q153" s="313">
        <v>0</v>
      </c>
      <c r="R153" s="300"/>
      <c r="S153" s="313">
        <v>0</v>
      </c>
      <c r="T153" s="300"/>
      <c r="U153" s="313">
        <v>0</v>
      </c>
      <c r="V153" s="300"/>
      <c r="W153" s="313">
        <v>0</v>
      </c>
      <c r="X153" s="300"/>
      <c r="Y153" s="313">
        <v>0</v>
      </c>
      <c r="Z153" s="300"/>
      <c r="AA153" s="313">
        <v>0</v>
      </c>
      <c r="AB153" s="300"/>
      <c r="AC153" s="313">
        <v>0</v>
      </c>
      <c r="AD153" s="300"/>
      <c r="AE153" s="313">
        <v>0</v>
      </c>
      <c r="AF153" s="300"/>
      <c r="AG153" s="313">
        <v>0</v>
      </c>
      <c r="AH153" s="300"/>
      <c r="AI153" s="313">
        <v>0</v>
      </c>
      <c r="AJ153" s="300"/>
      <c r="AK153" s="313">
        <v>0</v>
      </c>
      <c r="AL153" s="300"/>
      <c r="AM153" s="313">
        <v>0</v>
      </c>
      <c r="AN153" s="300"/>
      <c r="AO153" s="311">
        <f t="shared" si="23"/>
        <v>0</v>
      </c>
      <c r="AP153" s="297"/>
      <c r="AQ153" s="262"/>
    </row>
    <row r="154" spans="1:43" s="312" customFormat="1" ht="18.75" x14ac:dyDescent="0.3">
      <c r="A154" s="297"/>
      <c r="B154" s="298" t="s">
        <v>471</v>
      </c>
      <c r="C154" s="326" t="s">
        <v>112</v>
      </c>
      <c r="D154" s="297"/>
      <c r="E154" s="313">
        <v>0</v>
      </c>
      <c r="F154" s="300"/>
      <c r="G154" s="313">
        <v>0</v>
      </c>
      <c r="H154" s="300"/>
      <c r="I154" s="313">
        <v>0</v>
      </c>
      <c r="J154" s="300"/>
      <c r="K154" s="313">
        <v>0</v>
      </c>
      <c r="L154" s="300"/>
      <c r="M154" s="313">
        <v>0</v>
      </c>
      <c r="N154" s="300"/>
      <c r="O154" s="313">
        <v>0</v>
      </c>
      <c r="P154" s="300"/>
      <c r="Q154" s="313">
        <v>0</v>
      </c>
      <c r="R154" s="300"/>
      <c r="S154" s="313">
        <v>0</v>
      </c>
      <c r="T154" s="300"/>
      <c r="U154" s="313">
        <v>0</v>
      </c>
      <c r="V154" s="300"/>
      <c r="W154" s="313">
        <v>0</v>
      </c>
      <c r="X154" s="300"/>
      <c r="Y154" s="313">
        <v>0</v>
      </c>
      <c r="Z154" s="300"/>
      <c r="AA154" s="313">
        <v>0</v>
      </c>
      <c r="AB154" s="300"/>
      <c r="AC154" s="313">
        <v>0</v>
      </c>
      <c r="AD154" s="300"/>
      <c r="AE154" s="313">
        <v>0</v>
      </c>
      <c r="AF154" s="300"/>
      <c r="AG154" s="313">
        <v>0</v>
      </c>
      <c r="AH154" s="300"/>
      <c r="AI154" s="313">
        <v>0</v>
      </c>
      <c r="AJ154" s="300"/>
      <c r="AK154" s="313">
        <v>0</v>
      </c>
      <c r="AL154" s="300"/>
      <c r="AM154" s="313">
        <v>0</v>
      </c>
      <c r="AN154" s="300"/>
      <c r="AO154" s="311">
        <f t="shared" si="23"/>
        <v>0</v>
      </c>
      <c r="AP154" s="297"/>
      <c r="AQ154" s="262"/>
    </row>
    <row r="155" spans="1:43" s="312" customFormat="1" ht="18.75" x14ac:dyDescent="0.3">
      <c r="A155" s="297"/>
      <c r="B155" s="298" t="s">
        <v>480</v>
      </c>
      <c r="C155" s="326" t="s">
        <v>113</v>
      </c>
      <c r="D155" s="297"/>
      <c r="E155" s="313">
        <v>0</v>
      </c>
      <c r="F155" s="300"/>
      <c r="G155" s="313">
        <v>0</v>
      </c>
      <c r="H155" s="300"/>
      <c r="I155" s="313">
        <v>0</v>
      </c>
      <c r="J155" s="300"/>
      <c r="K155" s="313">
        <v>0</v>
      </c>
      <c r="L155" s="300"/>
      <c r="M155" s="313">
        <v>0</v>
      </c>
      <c r="N155" s="300"/>
      <c r="O155" s="313">
        <v>0</v>
      </c>
      <c r="P155" s="300"/>
      <c r="Q155" s="313">
        <v>0</v>
      </c>
      <c r="R155" s="300"/>
      <c r="S155" s="313">
        <v>0</v>
      </c>
      <c r="T155" s="300"/>
      <c r="U155" s="313">
        <v>0</v>
      </c>
      <c r="V155" s="300"/>
      <c r="W155" s="313">
        <v>0</v>
      </c>
      <c r="X155" s="300"/>
      <c r="Y155" s="313">
        <v>0</v>
      </c>
      <c r="Z155" s="300"/>
      <c r="AA155" s="313">
        <v>0</v>
      </c>
      <c r="AB155" s="300"/>
      <c r="AC155" s="313">
        <v>0</v>
      </c>
      <c r="AD155" s="300"/>
      <c r="AE155" s="313">
        <v>0</v>
      </c>
      <c r="AF155" s="300"/>
      <c r="AG155" s="313">
        <v>0</v>
      </c>
      <c r="AH155" s="300"/>
      <c r="AI155" s="313">
        <v>0</v>
      </c>
      <c r="AJ155" s="300"/>
      <c r="AK155" s="313">
        <v>0</v>
      </c>
      <c r="AL155" s="300"/>
      <c r="AM155" s="313">
        <v>0</v>
      </c>
      <c r="AN155" s="300"/>
      <c r="AO155" s="311">
        <f t="shared" si="23"/>
        <v>0</v>
      </c>
      <c r="AP155" s="297"/>
      <c r="AQ155" s="262"/>
    </row>
    <row r="156" spans="1:43" s="312" customFormat="1" ht="19.5" thickBot="1" x14ac:dyDescent="0.35">
      <c r="A156" s="297"/>
      <c r="B156" s="298" t="s">
        <v>473</v>
      </c>
      <c r="C156" s="326" t="s">
        <v>114</v>
      </c>
      <c r="D156" s="297"/>
      <c r="E156" s="313">
        <v>0</v>
      </c>
      <c r="F156" s="300"/>
      <c r="G156" s="313">
        <v>0</v>
      </c>
      <c r="H156" s="300"/>
      <c r="I156" s="313">
        <v>0</v>
      </c>
      <c r="J156" s="300"/>
      <c r="K156" s="313">
        <v>0</v>
      </c>
      <c r="L156" s="300"/>
      <c r="M156" s="313">
        <v>0</v>
      </c>
      <c r="N156" s="300"/>
      <c r="O156" s="313">
        <v>0</v>
      </c>
      <c r="P156" s="300"/>
      <c r="Q156" s="313">
        <v>0</v>
      </c>
      <c r="R156" s="300"/>
      <c r="S156" s="313">
        <v>0</v>
      </c>
      <c r="T156" s="300"/>
      <c r="U156" s="313">
        <v>0</v>
      </c>
      <c r="V156" s="300"/>
      <c r="W156" s="313">
        <v>0</v>
      </c>
      <c r="X156" s="300"/>
      <c r="Y156" s="313">
        <v>0</v>
      </c>
      <c r="Z156" s="300"/>
      <c r="AA156" s="313">
        <v>0</v>
      </c>
      <c r="AB156" s="300"/>
      <c r="AC156" s="313">
        <v>0</v>
      </c>
      <c r="AD156" s="300"/>
      <c r="AE156" s="313">
        <v>0</v>
      </c>
      <c r="AF156" s="300"/>
      <c r="AG156" s="313">
        <v>0</v>
      </c>
      <c r="AH156" s="300"/>
      <c r="AI156" s="313">
        <v>0</v>
      </c>
      <c r="AJ156" s="300"/>
      <c r="AK156" s="313">
        <v>0</v>
      </c>
      <c r="AL156" s="300"/>
      <c r="AM156" s="313">
        <v>0</v>
      </c>
      <c r="AN156" s="300"/>
      <c r="AO156" s="311">
        <f t="shared" si="23"/>
        <v>0</v>
      </c>
      <c r="AP156" s="297"/>
      <c r="AQ156" s="262"/>
    </row>
    <row r="157" spans="1:43" s="312" customFormat="1" ht="19.5" thickBot="1" x14ac:dyDescent="0.35">
      <c r="A157" s="297"/>
      <c r="B157" s="314" t="s">
        <v>491</v>
      </c>
      <c r="C157" s="315"/>
      <c r="D157" s="297"/>
      <c r="E157" s="317">
        <f>SUM(E151:E156)</f>
        <v>0</v>
      </c>
      <c r="F157" s="318"/>
      <c r="G157" s="317">
        <f>SUM(G151:G156)</f>
        <v>0</v>
      </c>
      <c r="H157" s="318"/>
      <c r="I157" s="317">
        <f>SUM(I151:I156)</f>
        <v>0</v>
      </c>
      <c r="J157" s="318"/>
      <c r="K157" s="317">
        <f>SUM(K151:K156)</f>
        <v>0</v>
      </c>
      <c r="L157" s="318"/>
      <c r="M157" s="317">
        <f>SUM(M151:M156)</f>
        <v>0</v>
      </c>
      <c r="N157" s="318"/>
      <c r="O157" s="317">
        <f>SUM(O151:O156)</f>
        <v>0</v>
      </c>
      <c r="P157" s="318"/>
      <c r="Q157" s="317">
        <f>SUM(Q151:Q156)</f>
        <v>0</v>
      </c>
      <c r="R157" s="318"/>
      <c r="S157" s="317">
        <f>SUM(S151:S156)</f>
        <v>0</v>
      </c>
      <c r="T157" s="318"/>
      <c r="U157" s="317">
        <f>SUM(U151:U156)</f>
        <v>0</v>
      </c>
      <c r="V157" s="318"/>
      <c r="W157" s="317">
        <f>SUM(W151:W156)</f>
        <v>0</v>
      </c>
      <c r="X157" s="318"/>
      <c r="Y157" s="317">
        <f>SUM(Y151:Y156)</f>
        <v>0</v>
      </c>
      <c r="Z157" s="318"/>
      <c r="AA157" s="317">
        <f>SUM(AA151:AA156)</f>
        <v>0</v>
      </c>
      <c r="AB157" s="318"/>
      <c r="AC157" s="317">
        <f>SUM(AC151:AC156)</f>
        <v>0</v>
      </c>
      <c r="AD157" s="318"/>
      <c r="AE157" s="317">
        <f>SUM(AE151:AE156)</f>
        <v>0</v>
      </c>
      <c r="AF157" s="318"/>
      <c r="AG157" s="317">
        <f>SUM(AG151:AG156)</f>
        <v>0</v>
      </c>
      <c r="AH157" s="318"/>
      <c r="AI157" s="317">
        <f>SUM(AI151:AI156)</f>
        <v>0</v>
      </c>
      <c r="AJ157" s="318"/>
      <c r="AK157" s="317">
        <f>SUM(AK151:AK156)</f>
        <v>0</v>
      </c>
      <c r="AL157" s="318"/>
      <c r="AM157" s="317">
        <f>SUM(AM151:AM156)</f>
        <v>0</v>
      </c>
      <c r="AN157" s="318"/>
      <c r="AO157" s="317">
        <f>SUM(AO151:AO156)</f>
        <v>0</v>
      </c>
      <c r="AP157" s="297"/>
      <c r="AQ157" s="262"/>
    </row>
    <row r="158" spans="1:43" s="312" customFormat="1" ht="19.5" thickBot="1" x14ac:dyDescent="0.35">
      <c r="A158" s="297"/>
      <c r="B158" s="298"/>
      <c r="C158" s="309"/>
      <c r="D158" s="297"/>
      <c r="E158" s="311"/>
      <c r="F158" s="319"/>
      <c r="G158" s="311"/>
      <c r="H158" s="319"/>
      <c r="I158" s="311"/>
      <c r="J158" s="319"/>
      <c r="K158" s="311"/>
      <c r="L158" s="319"/>
      <c r="M158" s="311"/>
      <c r="N158" s="319"/>
      <c r="O158" s="311"/>
      <c r="P158" s="319"/>
      <c r="Q158" s="311"/>
      <c r="R158" s="319"/>
      <c r="S158" s="311"/>
      <c r="T158" s="319"/>
      <c r="U158" s="311"/>
      <c r="V158" s="319"/>
      <c r="W158" s="311"/>
      <c r="X158" s="319"/>
      <c r="Y158" s="311"/>
      <c r="Z158" s="319"/>
      <c r="AA158" s="311"/>
      <c r="AB158" s="319"/>
      <c r="AC158" s="311"/>
      <c r="AD158" s="319"/>
      <c r="AE158" s="311"/>
      <c r="AF158" s="319"/>
      <c r="AG158" s="311"/>
      <c r="AH158" s="319"/>
      <c r="AI158" s="311"/>
      <c r="AJ158" s="319"/>
      <c r="AK158" s="311"/>
      <c r="AL158" s="319"/>
      <c r="AM158" s="311"/>
      <c r="AN158" s="319"/>
      <c r="AO158" s="311"/>
      <c r="AP158" s="297"/>
      <c r="AQ158" s="262"/>
    </row>
    <row r="159" spans="1:43" s="312" customFormat="1" ht="19.5" thickBot="1" x14ac:dyDescent="0.35">
      <c r="A159" s="297"/>
      <c r="B159" s="314" t="s">
        <v>492</v>
      </c>
      <c r="C159" s="315"/>
      <c r="D159" s="316"/>
      <c r="E159" s="317">
        <f>SUM(E148+E139+E130+E121+E112+E103+E94+E85+E76+E67+E58+E49+E157)</f>
        <v>10157299</v>
      </c>
      <c r="F159" s="318"/>
      <c r="G159" s="317">
        <f>SUM(G148+G139+G130+G121+G112+G103+G94+G85+G76+G67+G58+G49+G157)</f>
        <v>1380826</v>
      </c>
      <c r="H159" s="318"/>
      <c r="I159" s="317">
        <f>SUM(I148+I139+I130+I121+I112+I103+I94+I85+I76+I67+I58+I49+I157)</f>
        <v>0</v>
      </c>
      <c r="J159" s="318"/>
      <c r="K159" s="317">
        <f>SUM(K148+K139+K130+K121+K112+K103+K94+K85+K76+K67+K58+K49+K157)</f>
        <v>0</v>
      </c>
      <c r="L159" s="318"/>
      <c r="M159" s="317">
        <f>SUM(M148+M139+M130+M121+M112+M103+M94+M85+M76+M67+M58+M49+M157)</f>
        <v>1429322</v>
      </c>
      <c r="N159" s="318"/>
      <c r="O159" s="317">
        <f>SUM(O148+O139+O130+O121+O112+O103+O94+O85+O76+O67+O58+O49+O157)</f>
        <v>0</v>
      </c>
      <c r="P159" s="318"/>
      <c r="Q159" s="317">
        <f>SUM(Q148+Q139+Q130+Q121+Q112+Q103+Q94+Q85+Q76+Q67+Q58+Q49+Q157)</f>
        <v>0</v>
      </c>
      <c r="R159" s="318"/>
      <c r="S159" s="317">
        <f>SUM(S148+S139+S130+S121+S112+S103+S94+S85+S76+S67+S58+S49+S157)</f>
        <v>0</v>
      </c>
      <c r="T159" s="318"/>
      <c r="U159" s="317">
        <f>SUM(U148+U139+U130+U121+U112+U103+U94+U85+U76+U67+U58+U49+U157)</f>
        <v>0</v>
      </c>
      <c r="V159" s="318"/>
      <c r="W159" s="317">
        <f>SUM(W148+W139+W130+W121+W112+W103+W94+W85+W76+W67+W58+W49+W157)</f>
        <v>298882</v>
      </c>
      <c r="X159" s="318"/>
      <c r="Y159" s="317">
        <f>SUM(Y148+Y139+Y130+Y121+Y112+Y103+Y94+Y85+Y76+Y67+Y58+Y49+Y157)</f>
        <v>0</v>
      </c>
      <c r="Z159" s="318"/>
      <c r="AA159" s="317">
        <f>SUM(AA148+AA139+AA130+AA121+AA112+AA103+AA94+AA85+AA76+AA67+AA58+AA49+AA157)</f>
        <v>0</v>
      </c>
      <c r="AB159" s="318"/>
      <c r="AC159" s="317">
        <f>SUM(AC148+AC139+AC130+AC121+AC112+AC103+AC94+AC85+AC76+AC67+AC58+AC49+AC157)</f>
        <v>0</v>
      </c>
      <c r="AD159" s="318"/>
      <c r="AE159" s="317">
        <f>SUM(AE148+AE139+AE130+AE121+AE112+AE103+AE94+AE85+AE76+AE67+AE58+AE49+AE157)</f>
        <v>2050000</v>
      </c>
      <c r="AF159" s="318"/>
      <c r="AG159" s="317">
        <f>SUM(AG148+AG139+AG130+AG121+AG112+AG103+AG94+AG85+AG76+AG67+AG58+AG49+AG157)</f>
        <v>0</v>
      </c>
      <c r="AH159" s="318"/>
      <c r="AI159" s="317">
        <f>SUM(AI148+AI139+AI130+AI121+AI112+AI103+AI94+AI85+AI76+AI67+AI58+AI49+AI157)</f>
        <v>32510</v>
      </c>
      <c r="AJ159" s="318"/>
      <c r="AK159" s="317">
        <f>SUM(AK148+AK139+AK130+AK121+AK112+AK103+AK94+AK85+AK76+AK67+AK58+AK49+AK157)</f>
        <v>0</v>
      </c>
      <c r="AL159" s="318"/>
      <c r="AM159" s="317">
        <f>SUM(AM148+AM139+AM130+AM121+AM112+AM103+AM94+AM85+AM76+AM67+AM58+AM49+AM157)</f>
        <v>0</v>
      </c>
      <c r="AN159" s="318"/>
      <c r="AO159" s="317">
        <f>SUM(AO148+AO139+AO130+AO121+AO112+AO103+AO94+AO85+AO76+AO67+AO58+AO49+AO157)</f>
        <v>15348839</v>
      </c>
      <c r="AP159" s="297"/>
      <c r="AQ159" s="262"/>
    </row>
    <row r="160" spans="1:43" s="312" customFormat="1" ht="18.75" x14ac:dyDescent="0.3">
      <c r="A160" s="297"/>
      <c r="B160" s="298"/>
      <c r="C160" s="309"/>
      <c r="D160" s="310"/>
      <c r="E160" s="311"/>
      <c r="F160" s="319"/>
      <c r="G160" s="311"/>
      <c r="H160" s="319"/>
      <c r="I160" s="311"/>
      <c r="J160" s="319"/>
      <c r="K160" s="311"/>
      <c r="L160" s="319"/>
      <c r="M160" s="311"/>
      <c r="N160" s="319"/>
      <c r="O160" s="311"/>
      <c r="P160" s="319"/>
      <c r="Q160" s="311"/>
      <c r="R160" s="319"/>
      <c r="S160" s="311"/>
      <c r="T160" s="319"/>
      <c r="U160" s="311"/>
      <c r="V160" s="319"/>
      <c r="W160" s="311"/>
      <c r="X160" s="319"/>
      <c r="Y160" s="311"/>
      <c r="Z160" s="319"/>
      <c r="AA160" s="311"/>
      <c r="AB160" s="319"/>
      <c r="AC160" s="311"/>
      <c r="AD160" s="319"/>
      <c r="AE160" s="311"/>
      <c r="AF160" s="319"/>
      <c r="AG160" s="311"/>
      <c r="AH160" s="319"/>
      <c r="AI160" s="311"/>
      <c r="AJ160" s="319"/>
      <c r="AK160" s="311"/>
      <c r="AL160" s="319"/>
      <c r="AM160" s="311"/>
      <c r="AN160" s="319"/>
      <c r="AO160" s="311"/>
      <c r="AP160" s="297"/>
      <c r="AQ160" s="262"/>
    </row>
    <row r="161" spans="1:43" s="312" customFormat="1" ht="18.75" x14ac:dyDescent="0.3">
      <c r="A161" s="297"/>
      <c r="B161" s="298" t="s">
        <v>126</v>
      </c>
      <c r="C161" s="309"/>
      <c r="D161" s="310"/>
      <c r="E161" s="311"/>
      <c r="F161" s="319"/>
      <c r="G161" s="311"/>
      <c r="H161" s="319"/>
      <c r="I161" s="311"/>
      <c r="J161" s="319"/>
      <c r="K161" s="311"/>
      <c r="L161" s="319"/>
      <c r="M161" s="311"/>
      <c r="N161" s="319"/>
      <c r="O161" s="311"/>
      <c r="P161" s="319"/>
      <c r="Q161" s="311"/>
      <c r="R161" s="319"/>
      <c r="S161" s="311"/>
      <c r="T161" s="319"/>
      <c r="U161" s="311"/>
      <c r="V161" s="319"/>
      <c r="W161" s="311"/>
      <c r="X161" s="319"/>
      <c r="Y161" s="311"/>
      <c r="Z161" s="319"/>
      <c r="AA161" s="311"/>
      <c r="AB161" s="319"/>
      <c r="AC161" s="311"/>
      <c r="AD161" s="319"/>
      <c r="AE161" s="311"/>
      <c r="AF161" s="319"/>
      <c r="AG161" s="311"/>
      <c r="AH161" s="319"/>
      <c r="AI161" s="311"/>
      <c r="AJ161" s="319"/>
      <c r="AK161" s="311"/>
      <c r="AL161" s="319"/>
      <c r="AM161" s="311"/>
      <c r="AN161" s="319"/>
      <c r="AO161" s="311"/>
      <c r="AP161" s="297"/>
      <c r="AQ161" s="262"/>
    </row>
    <row r="162" spans="1:43" s="312" customFormat="1" ht="18.75" x14ac:dyDescent="0.3">
      <c r="A162" s="297"/>
      <c r="B162" s="298" t="s">
        <v>467</v>
      </c>
      <c r="C162" s="326" t="s">
        <v>108</v>
      </c>
      <c r="D162" s="310"/>
      <c r="E162" s="313">
        <v>0</v>
      </c>
      <c r="F162" s="300"/>
      <c r="G162" s="299">
        <v>0</v>
      </c>
      <c r="H162" s="300"/>
      <c r="I162" s="299">
        <v>0</v>
      </c>
      <c r="J162" s="300"/>
      <c r="K162" s="313">
        <v>0</v>
      </c>
      <c r="L162" s="300"/>
      <c r="M162" s="299">
        <v>0</v>
      </c>
      <c r="N162" s="300"/>
      <c r="O162" s="313">
        <v>0</v>
      </c>
      <c r="P162" s="300"/>
      <c r="Q162" s="299">
        <v>0</v>
      </c>
      <c r="R162" s="300"/>
      <c r="S162" s="299">
        <v>0</v>
      </c>
      <c r="T162" s="300"/>
      <c r="U162" s="299">
        <v>0</v>
      </c>
      <c r="V162" s="300"/>
      <c r="W162" s="313">
        <v>0</v>
      </c>
      <c r="X162" s="300"/>
      <c r="Y162" s="313">
        <v>0</v>
      </c>
      <c r="Z162" s="300"/>
      <c r="AA162" s="299">
        <v>0</v>
      </c>
      <c r="AB162" s="300"/>
      <c r="AC162" s="299">
        <v>0</v>
      </c>
      <c r="AD162" s="300"/>
      <c r="AE162" s="299">
        <v>0</v>
      </c>
      <c r="AF162" s="300"/>
      <c r="AG162" s="299">
        <v>0</v>
      </c>
      <c r="AH162" s="300"/>
      <c r="AI162" s="299">
        <v>0</v>
      </c>
      <c r="AJ162" s="300"/>
      <c r="AK162" s="299">
        <v>0</v>
      </c>
      <c r="AL162" s="300"/>
      <c r="AM162" s="299">
        <v>0</v>
      </c>
      <c r="AN162" s="300"/>
      <c r="AO162" s="311">
        <f t="shared" ref="AO162:AO167" si="24">E162+K162+G162+I162+M162+O162+Q162+S162+U162+W162+Y162+AA162+AC162+AE162+AG162+AI162+AK162+AM162</f>
        <v>0</v>
      </c>
      <c r="AP162" s="297"/>
      <c r="AQ162" s="262"/>
    </row>
    <row r="163" spans="1:43" s="312" customFormat="1" ht="18.75" x14ac:dyDescent="0.3">
      <c r="A163" s="297"/>
      <c r="B163" s="298" t="s">
        <v>469</v>
      </c>
      <c r="C163" s="326" t="s">
        <v>109</v>
      </c>
      <c r="D163" s="310"/>
      <c r="E163" s="313">
        <v>0</v>
      </c>
      <c r="F163" s="300"/>
      <c r="G163" s="299">
        <v>0</v>
      </c>
      <c r="H163" s="300"/>
      <c r="I163" s="299">
        <v>0</v>
      </c>
      <c r="J163" s="300"/>
      <c r="K163" s="313">
        <v>0</v>
      </c>
      <c r="L163" s="300"/>
      <c r="M163" s="299">
        <v>0</v>
      </c>
      <c r="N163" s="300"/>
      <c r="O163" s="313">
        <v>0</v>
      </c>
      <c r="P163" s="300"/>
      <c r="Q163" s="299">
        <v>0</v>
      </c>
      <c r="R163" s="300"/>
      <c r="S163" s="299">
        <v>0</v>
      </c>
      <c r="T163" s="300"/>
      <c r="U163" s="299">
        <v>0</v>
      </c>
      <c r="V163" s="300"/>
      <c r="W163" s="313">
        <v>0</v>
      </c>
      <c r="X163" s="300"/>
      <c r="Y163" s="313">
        <v>0</v>
      </c>
      <c r="Z163" s="300"/>
      <c r="AA163" s="299">
        <v>0</v>
      </c>
      <c r="AB163" s="300"/>
      <c r="AC163" s="299">
        <v>0</v>
      </c>
      <c r="AD163" s="300"/>
      <c r="AE163" s="299">
        <v>0</v>
      </c>
      <c r="AF163" s="300"/>
      <c r="AG163" s="299">
        <v>0</v>
      </c>
      <c r="AH163" s="300"/>
      <c r="AI163" s="299">
        <v>0</v>
      </c>
      <c r="AJ163" s="300"/>
      <c r="AK163" s="299">
        <v>0</v>
      </c>
      <c r="AL163" s="300"/>
      <c r="AM163" s="299">
        <v>0</v>
      </c>
      <c r="AN163" s="300"/>
      <c r="AO163" s="311">
        <f t="shared" si="24"/>
        <v>0</v>
      </c>
      <c r="AP163" s="297"/>
      <c r="AQ163" s="262"/>
    </row>
    <row r="164" spans="1:43" s="312" customFormat="1" ht="37.5" x14ac:dyDescent="0.3">
      <c r="A164" s="297"/>
      <c r="B164" s="298" t="s">
        <v>470</v>
      </c>
      <c r="C164" s="326" t="s">
        <v>486</v>
      </c>
      <c r="D164" s="310"/>
      <c r="E164" s="313">
        <v>0</v>
      </c>
      <c r="F164" s="300"/>
      <c r="G164" s="313">
        <v>0</v>
      </c>
      <c r="H164" s="300"/>
      <c r="I164" s="313">
        <v>0</v>
      </c>
      <c r="J164" s="300"/>
      <c r="K164" s="313">
        <v>0</v>
      </c>
      <c r="L164" s="300"/>
      <c r="M164" s="313">
        <v>0</v>
      </c>
      <c r="N164" s="300"/>
      <c r="O164" s="313">
        <v>0</v>
      </c>
      <c r="P164" s="300"/>
      <c r="Q164" s="313">
        <v>0</v>
      </c>
      <c r="R164" s="300"/>
      <c r="S164" s="313">
        <v>0</v>
      </c>
      <c r="T164" s="300"/>
      <c r="U164" s="313">
        <v>0</v>
      </c>
      <c r="V164" s="300"/>
      <c r="W164" s="313">
        <v>0</v>
      </c>
      <c r="X164" s="300"/>
      <c r="Y164" s="313">
        <v>0</v>
      </c>
      <c r="Z164" s="300"/>
      <c r="AA164" s="313">
        <v>0</v>
      </c>
      <c r="AB164" s="300"/>
      <c r="AC164" s="299">
        <v>0</v>
      </c>
      <c r="AD164" s="300"/>
      <c r="AE164" s="299">
        <v>80000</v>
      </c>
      <c r="AF164" s="300"/>
      <c r="AG164" s="299">
        <v>0</v>
      </c>
      <c r="AH164" s="300"/>
      <c r="AI164" s="313">
        <v>0</v>
      </c>
      <c r="AJ164" s="300"/>
      <c r="AK164" s="313">
        <v>0</v>
      </c>
      <c r="AL164" s="300"/>
      <c r="AM164" s="313">
        <v>0</v>
      </c>
      <c r="AN164" s="300"/>
      <c r="AO164" s="311">
        <f t="shared" si="24"/>
        <v>80000</v>
      </c>
      <c r="AP164" s="297"/>
      <c r="AQ164" s="262"/>
    </row>
    <row r="165" spans="1:43" s="312" customFormat="1" ht="18.75" x14ac:dyDescent="0.3">
      <c r="A165" s="297"/>
      <c r="B165" s="298" t="s">
        <v>471</v>
      </c>
      <c r="C165" s="326" t="s">
        <v>112</v>
      </c>
      <c r="D165" s="310"/>
      <c r="E165" s="313">
        <v>0</v>
      </c>
      <c r="F165" s="300"/>
      <c r="G165" s="313">
        <v>0</v>
      </c>
      <c r="H165" s="300"/>
      <c r="I165" s="313">
        <v>0</v>
      </c>
      <c r="J165" s="300"/>
      <c r="K165" s="313">
        <v>0</v>
      </c>
      <c r="L165" s="300"/>
      <c r="M165" s="313">
        <v>0</v>
      </c>
      <c r="N165" s="300"/>
      <c r="O165" s="313">
        <v>0</v>
      </c>
      <c r="P165" s="300"/>
      <c r="Q165" s="313">
        <v>0</v>
      </c>
      <c r="R165" s="300"/>
      <c r="S165" s="313">
        <v>0</v>
      </c>
      <c r="T165" s="300"/>
      <c r="U165" s="313">
        <v>0</v>
      </c>
      <c r="V165" s="300"/>
      <c r="W165" s="313">
        <v>0</v>
      </c>
      <c r="X165" s="300"/>
      <c r="Y165" s="313">
        <v>0</v>
      </c>
      <c r="Z165" s="300"/>
      <c r="AA165" s="313">
        <v>0</v>
      </c>
      <c r="AB165" s="300"/>
      <c r="AC165" s="299">
        <v>0</v>
      </c>
      <c r="AD165" s="300"/>
      <c r="AE165" s="299">
        <v>0</v>
      </c>
      <c r="AF165" s="300"/>
      <c r="AG165" s="299">
        <v>0</v>
      </c>
      <c r="AH165" s="300"/>
      <c r="AI165" s="313">
        <v>0</v>
      </c>
      <c r="AJ165" s="300"/>
      <c r="AK165" s="313">
        <v>0</v>
      </c>
      <c r="AL165" s="300"/>
      <c r="AM165" s="313">
        <v>0</v>
      </c>
      <c r="AN165" s="300"/>
      <c r="AO165" s="311">
        <f t="shared" si="24"/>
        <v>0</v>
      </c>
      <c r="AP165" s="297"/>
      <c r="AQ165" s="262"/>
    </row>
    <row r="166" spans="1:43" s="312" customFormat="1" ht="18.75" x14ac:dyDescent="0.3">
      <c r="A166" s="297"/>
      <c r="B166" s="298" t="s">
        <v>472</v>
      </c>
      <c r="C166" s="326" t="s">
        <v>113</v>
      </c>
      <c r="D166" s="310"/>
      <c r="E166" s="313">
        <v>0</v>
      </c>
      <c r="F166" s="300"/>
      <c r="G166" s="313">
        <v>0</v>
      </c>
      <c r="H166" s="300"/>
      <c r="I166" s="313">
        <v>0</v>
      </c>
      <c r="J166" s="300"/>
      <c r="K166" s="313">
        <v>0</v>
      </c>
      <c r="L166" s="300"/>
      <c r="M166" s="313">
        <v>0</v>
      </c>
      <c r="N166" s="300"/>
      <c r="O166" s="313">
        <v>0</v>
      </c>
      <c r="P166" s="300"/>
      <c r="Q166" s="313">
        <v>0</v>
      </c>
      <c r="R166" s="300"/>
      <c r="S166" s="313">
        <v>0</v>
      </c>
      <c r="T166" s="300"/>
      <c r="U166" s="313">
        <v>0</v>
      </c>
      <c r="V166" s="300"/>
      <c r="W166" s="313">
        <v>0</v>
      </c>
      <c r="X166" s="300"/>
      <c r="Y166" s="313">
        <v>0</v>
      </c>
      <c r="Z166" s="300"/>
      <c r="AA166" s="313">
        <v>0</v>
      </c>
      <c r="AB166" s="300"/>
      <c r="AC166" s="299">
        <v>0</v>
      </c>
      <c r="AD166" s="300"/>
      <c r="AE166" s="299">
        <v>0</v>
      </c>
      <c r="AF166" s="300"/>
      <c r="AG166" s="299">
        <f>750000</f>
        <v>750000</v>
      </c>
      <c r="AH166" s="300"/>
      <c r="AI166" s="313">
        <v>0</v>
      </c>
      <c r="AJ166" s="300"/>
      <c r="AK166" s="313">
        <v>0</v>
      </c>
      <c r="AL166" s="300"/>
      <c r="AM166" s="313">
        <v>0</v>
      </c>
      <c r="AN166" s="300"/>
      <c r="AO166" s="311">
        <f t="shared" si="24"/>
        <v>750000</v>
      </c>
      <c r="AP166" s="297"/>
      <c r="AQ166" s="262"/>
    </row>
    <row r="167" spans="1:43" s="312" customFormat="1" ht="19.5" thickBot="1" x14ac:dyDescent="0.35">
      <c r="A167" s="297"/>
      <c r="B167" s="298" t="s">
        <v>473</v>
      </c>
      <c r="C167" s="326" t="s">
        <v>114</v>
      </c>
      <c r="D167" s="297"/>
      <c r="E167" s="313">
        <v>0</v>
      </c>
      <c r="F167" s="300"/>
      <c r="G167" s="313">
        <v>0</v>
      </c>
      <c r="H167" s="300"/>
      <c r="I167" s="313">
        <v>0</v>
      </c>
      <c r="J167" s="300"/>
      <c r="K167" s="313">
        <v>0</v>
      </c>
      <c r="L167" s="300"/>
      <c r="M167" s="313">
        <v>0</v>
      </c>
      <c r="N167" s="300"/>
      <c r="O167" s="313">
        <v>0</v>
      </c>
      <c r="P167" s="300"/>
      <c r="Q167" s="313">
        <v>0</v>
      </c>
      <c r="R167" s="300"/>
      <c r="S167" s="313">
        <v>0</v>
      </c>
      <c r="T167" s="300"/>
      <c r="U167" s="313">
        <v>0</v>
      </c>
      <c r="V167" s="300"/>
      <c r="W167" s="313">
        <v>0</v>
      </c>
      <c r="X167" s="300"/>
      <c r="Y167" s="313">
        <v>0</v>
      </c>
      <c r="Z167" s="300"/>
      <c r="AA167" s="313">
        <v>0</v>
      </c>
      <c r="AB167" s="300"/>
      <c r="AC167" s="299">
        <v>0</v>
      </c>
      <c r="AD167" s="300"/>
      <c r="AE167" s="299">
        <v>0</v>
      </c>
      <c r="AF167" s="300"/>
      <c r="AG167" s="299">
        <v>0</v>
      </c>
      <c r="AH167" s="300"/>
      <c r="AI167" s="313">
        <v>0</v>
      </c>
      <c r="AJ167" s="300"/>
      <c r="AK167" s="313">
        <v>0</v>
      </c>
      <c r="AL167" s="300"/>
      <c r="AM167" s="313">
        <v>0</v>
      </c>
      <c r="AN167" s="300"/>
      <c r="AO167" s="311">
        <f t="shared" si="24"/>
        <v>0</v>
      </c>
      <c r="AP167" s="297"/>
      <c r="AQ167" s="262"/>
    </row>
    <row r="168" spans="1:43" s="312" customFormat="1" ht="19.5" thickBot="1" x14ac:dyDescent="0.35">
      <c r="A168" s="297"/>
      <c r="B168" s="314" t="s">
        <v>493</v>
      </c>
      <c r="C168" s="315"/>
      <c r="D168" s="316"/>
      <c r="E168" s="317">
        <f>SUM(E162:E167)</f>
        <v>0</v>
      </c>
      <c r="F168" s="318"/>
      <c r="G168" s="317">
        <f>SUM(G162:G167)</f>
        <v>0</v>
      </c>
      <c r="H168" s="318"/>
      <c r="I168" s="317">
        <f>SUM(I162:I167)</f>
        <v>0</v>
      </c>
      <c r="J168" s="318"/>
      <c r="K168" s="317">
        <f>SUM(K162:K167)</f>
        <v>0</v>
      </c>
      <c r="L168" s="318"/>
      <c r="M168" s="317">
        <f>SUM(M162:M167)</f>
        <v>0</v>
      </c>
      <c r="N168" s="318"/>
      <c r="O168" s="317">
        <f>SUM(O162:O167)</f>
        <v>0</v>
      </c>
      <c r="P168" s="318"/>
      <c r="Q168" s="317">
        <f>SUM(Q162:Q167)</f>
        <v>0</v>
      </c>
      <c r="R168" s="318"/>
      <c r="S168" s="317">
        <f>SUM(S162:S167)</f>
        <v>0</v>
      </c>
      <c r="T168" s="318"/>
      <c r="U168" s="317">
        <f>SUM(U162:U167)</f>
        <v>0</v>
      </c>
      <c r="V168" s="318"/>
      <c r="W168" s="317">
        <f>SUM(W162:W167)</f>
        <v>0</v>
      </c>
      <c r="X168" s="318"/>
      <c r="Y168" s="317">
        <f>SUM(Y162:Y167)</f>
        <v>0</v>
      </c>
      <c r="Z168" s="318"/>
      <c r="AA168" s="317">
        <f>SUM(AA162:AA167)</f>
        <v>0</v>
      </c>
      <c r="AB168" s="318"/>
      <c r="AC168" s="317">
        <f>SUM(AC162:AC167)</f>
        <v>0</v>
      </c>
      <c r="AD168" s="318"/>
      <c r="AE168" s="317">
        <f>SUM(AE162:AE167)</f>
        <v>80000</v>
      </c>
      <c r="AF168" s="318"/>
      <c r="AG168" s="317">
        <f>SUM(AG162:AG167)</f>
        <v>750000</v>
      </c>
      <c r="AH168" s="318"/>
      <c r="AI168" s="317">
        <f>SUM(AI162:AI167)</f>
        <v>0</v>
      </c>
      <c r="AJ168" s="318"/>
      <c r="AK168" s="317">
        <f>SUM(AK162:AK167)</f>
        <v>0</v>
      </c>
      <c r="AL168" s="318"/>
      <c r="AM168" s="317">
        <f>SUM(AM162:AM167)</f>
        <v>0</v>
      </c>
      <c r="AN168" s="318"/>
      <c r="AO168" s="317">
        <f>SUM(AO162:AO167)</f>
        <v>830000</v>
      </c>
      <c r="AP168" s="297"/>
      <c r="AQ168" s="262"/>
    </row>
    <row r="169" spans="1:43" s="312" customFormat="1" ht="18.75" x14ac:dyDescent="0.3">
      <c r="A169" s="297"/>
      <c r="B169" s="298"/>
      <c r="C169" s="309"/>
      <c r="D169" s="310"/>
      <c r="E169" s="311"/>
      <c r="F169" s="319"/>
      <c r="G169" s="311"/>
      <c r="H169" s="319"/>
      <c r="I169" s="311"/>
      <c r="J169" s="319"/>
      <c r="K169" s="311"/>
      <c r="L169" s="319"/>
      <c r="M169" s="311"/>
      <c r="N169" s="319"/>
      <c r="O169" s="311"/>
      <c r="P169" s="319"/>
      <c r="Q169" s="311"/>
      <c r="R169" s="319"/>
      <c r="S169" s="311"/>
      <c r="T169" s="319"/>
      <c r="U169" s="311"/>
      <c r="V169" s="319"/>
      <c r="W169" s="311"/>
      <c r="X169" s="319"/>
      <c r="Y169" s="311"/>
      <c r="Z169" s="319"/>
      <c r="AA169" s="311"/>
      <c r="AB169" s="319"/>
      <c r="AC169" s="311"/>
      <c r="AD169" s="319"/>
      <c r="AE169" s="311"/>
      <c r="AF169" s="319"/>
      <c r="AG169" s="311"/>
      <c r="AH169" s="319"/>
      <c r="AI169" s="311"/>
      <c r="AJ169" s="319"/>
      <c r="AK169" s="311"/>
      <c r="AL169" s="319"/>
      <c r="AM169" s="311"/>
      <c r="AN169" s="319"/>
      <c r="AO169" s="311"/>
      <c r="AP169" s="297"/>
      <c r="AQ169" s="262"/>
    </row>
    <row r="170" spans="1:43" s="312" customFormat="1" ht="39" customHeight="1" x14ac:dyDescent="0.3">
      <c r="A170" s="297"/>
      <c r="B170" s="298" t="s">
        <v>494</v>
      </c>
      <c r="C170" s="309"/>
      <c r="D170" s="310"/>
      <c r="E170" s="311"/>
      <c r="F170" s="319"/>
      <c r="G170" s="311"/>
      <c r="H170" s="319"/>
      <c r="I170" s="311"/>
      <c r="J170" s="319"/>
      <c r="K170" s="311"/>
      <c r="L170" s="319"/>
      <c r="M170" s="311"/>
      <c r="N170" s="319"/>
      <c r="O170" s="311"/>
      <c r="P170" s="319"/>
      <c r="Q170" s="311"/>
      <c r="R170" s="319"/>
      <c r="S170" s="311"/>
      <c r="T170" s="319"/>
      <c r="U170" s="311"/>
      <c r="V170" s="319"/>
      <c r="W170" s="311"/>
      <c r="X170" s="319"/>
      <c r="Y170" s="311"/>
      <c r="Z170" s="319"/>
      <c r="AA170" s="302"/>
      <c r="AB170" s="319"/>
      <c r="AC170" s="302"/>
      <c r="AD170" s="319"/>
      <c r="AE170" s="311"/>
      <c r="AF170" s="319"/>
      <c r="AG170" s="311"/>
      <c r="AH170" s="319"/>
      <c r="AI170" s="311"/>
      <c r="AJ170" s="319"/>
      <c r="AK170" s="311"/>
      <c r="AL170" s="319"/>
      <c r="AM170" s="311"/>
      <c r="AN170" s="319"/>
      <c r="AO170" s="311"/>
      <c r="AP170" s="297"/>
      <c r="AQ170" s="262"/>
    </row>
    <row r="171" spans="1:43" s="312" customFormat="1" ht="18.75" x14ac:dyDescent="0.3">
      <c r="A171" s="297"/>
      <c r="B171" s="298" t="s">
        <v>467</v>
      </c>
      <c r="C171" s="326" t="s">
        <v>108</v>
      </c>
      <c r="D171" s="310"/>
      <c r="E171" s="338">
        <v>0</v>
      </c>
      <c r="F171" s="300"/>
      <c r="G171" s="338">
        <v>0</v>
      </c>
      <c r="H171" s="300"/>
      <c r="I171" s="338">
        <v>0</v>
      </c>
      <c r="J171" s="300"/>
      <c r="K171" s="339">
        <v>0</v>
      </c>
      <c r="L171" s="300"/>
      <c r="M171" s="338">
        <v>0</v>
      </c>
      <c r="N171" s="300"/>
      <c r="O171" s="338">
        <v>0</v>
      </c>
      <c r="P171" s="300"/>
      <c r="Q171" s="338">
        <v>0</v>
      </c>
      <c r="R171" s="300"/>
      <c r="S171" s="339" t="s">
        <v>56</v>
      </c>
      <c r="T171" s="300"/>
      <c r="U171" s="339" t="s">
        <v>56</v>
      </c>
      <c r="V171" s="300"/>
      <c r="W171" s="338">
        <v>0</v>
      </c>
      <c r="X171" s="300"/>
      <c r="Y171" s="338">
        <v>0</v>
      </c>
      <c r="Z171" s="300"/>
      <c r="AA171" s="299">
        <v>0</v>
      </c>
      <c r="AB171" s="300"/>
      <c r="AC171" s="340">
        <v>0</v>
      </c>
      <c r="AD171" s="300"/>
      <c r="AE171" s="338">
        <v>0</v>
      </c>
      <c r="AF171" s="300"/>
      <c r="AG171" s="338">
        <v>0</v>
      </c>
      <c r="AH171" s="300"/>
      <c r="AI171" s="338">
        <v>0</v>
      </c>
      <c r="AJ171" s="300"/>
      <c r="AK171" s="339" t="s">
        <v>56</v>
      </c>
      <c r="AL171" s="300"/>
      <c r="AM171" s="339" t="s">
        <v>56</v>
      </c>
      <c r="AN171" s="300"/>
      <c r="AO171" s="341">
        <v>0</v>
      </c>
      <c r="AP171" s="297"/>
      <c r="AQ171" s="262"/>
    </row>
    <row r="172" spans="1:43" s="312" customFormat="1" ht="18.75" x14ac:dyDescent="0.3">
      <c r="A172" s="297"/>
      <c r="B172" s="298" t="s">
        <v>469</v>
      </c>
      <c r="C172" s="326" t="s">
        <v>109</v>
      </c>
      <c r="D172" s="310"/>
      <c r="E172" s="338">
        <v>0</v>
      </c>
      <c r="F172" s="300"/>
      <c r="G172" s="338">
        <v>0</v>
      </c>
      <c r="H172" s="300"/>
      <c r="I172" s="338">
        <v>0</v>
      </c>
      <c r="J172" s="300"/>
      <c r="K172" s="339">
        <v>0</v>
      </c>
      <c r="L172" s="300"/>
      <c r="M172" s="338">
        <v>0</v>
      </c>
      <c r="N172" s="300"/>
      <c r="O172" s="338">
        <v>0</v>
      </c>
      <c r="P172" s="300"/>
      <c r="Q172" s="338">
        <v>0</v>
      </c>
      <c r="R172" s="300"/>
      <c r="S172" s="339" t="s">
        <v>56</v>
      </c>
      <c r="T172" s="300"/>
      <c r="U172" s="339" t="s">
        <v>56</v>
      </c>
      <c r="V172" s="300"/>
      <c r="W172" s="338">
        <v>0</v>
      </c>
      <c r="X172" s="300"/>
      <c r="Y172" s="338">
        <v>0</v>
      </c>
      <c r="Z172" s="300"/>
      <c r="AA172" s="299">
        <v>0</v>
      </c>
      <c r="AB172" s="300"/>
      <c r="AC172" s="340">
        <v>0</v>
      </c>
      <c r="AD172" s="300"/>
      <c r="AE172" s="338">
        <v>0</v>
      </c>
      <c r="AF172" s="300"/>
      <c r="AG172" s="338">
        <v>0</v>
      </c>
      <c r="AH172" s="300"/>
      <c r="AI172" s="338">
        <v>0</v>
      </c>
      <c r="AJ172" s="300"/>
      <c r="AK172" s="339" t="s">
        <v>56</v>
      </c>
      <c r="AL172" s="300"/>
      <c r="AM172" s="339" t="s">
        <v>56</v>
      </c>
      <c r="AN172" s="300"/>
      <c r="AO172" s="311">
        <v>0</v>
      </c>
      <c r="AP172" s="297"/>
      <c r="AQ172" s="262"/>
    </row>
    <row r="173" spans="1:43" s="312" customFormat="1" ht="37.5" x14ac:dyDescent="0.3">
      <c r="A173" s="297"/>
      <c r="B173" s="298" t="s">
        <v>470</v>
      </c>
      <c r="C173" s="326" t="s">
        <v>486</v>
      </c>
      <c r="D173" s="310"/>
      <c r="E173" s="338">
        <v>0</v>
      </c>
      <c r="F173" s="342"/>
      <c r="G173" s="338">
        <v>0</v>
      </c>
      <c r="H173" s="342"/>
      <c r="I173" s="338">
        <v>0</v>
      </c>
      <c r="J173" s="342"/>
      <c r="K173" s="339">
        <v>0</v>
      </c>
      <c r="L173" s="342"/>
      <c r="M173" s="338">
        <v>0</v>
      </c>
      <c r="N173" s="342"/>
      <c r="O173" s="338">
        <v>0</v>
      </c>
      <c r="P173" s="342"/>
      <c r="Q173" s="338">
        <v>0</v>
      </c>
      <c r="R173" s="342"/>
      <c r="S173" s="338" t="s">
        <v>56</v>
      </c>
      <c r="T173" s="342"/>
      <c r="U173" s="338" t="s">
        <v>56</v>
      </c>
      <c r="V173" s="342"/>
      <c r="W173" s="338">
        <v>0</v>
      </c>
      <c r="X173" s="342"/>
      <c r="Y173" s="338">
        <v>0</v>
      </c>
      <c r="Z173" s="342"/>
      <c r="AA173" s="299">
        <v>22032</v>
      </c>
      <c r="AB173" s="342"/>
      <c r="AC173" s="340">
        <v>0</v>
      </c>
      <c r="AD173" s="342"/>
      <c r="AE173" s="338">
        <v>0</v>
      </c>
      <c r="AF173" s="342"/>
      <c r="AG173" s="338">
        <v>0</v>
      </c>
      <c r="AH173" s="342"/>
      <c r="AI173" s="338">
        <v>0</v>
      </c>
      <c r="AJ173" s="342"/>
      <c r="AK173" s="338" t="s">
        <v>56</v>
      </c>
      <c r="AL173" s="342"/>
      <c r="AM173" s="338" t="s">
        <v>56</v>
      </c>
      <c r="AN173" s="342"/>
      <c r="AO173" s="311">
        <f>E173+G173+I173+M173+O173+Q173+W173+Y173+AA173+AC173+AE173+AG173+AI173</f>
        <v>22032</v>
      </c>
      <c r="AP173" s="297"/>
      <c r="AQ173" s="262"/>
    </row>
    <row r="174" spans="1:43" s="312" customFormat="1" ht="18.75" x14ac:dyDescent="0.3">
      <c r="A174" s="297"/>
      <c r="B174" s="298" t="s">
        <v>471</v>
      </c>
      <c r="C174" s="326" t="s">
        <v>112</v>
      </c>
      <c r="D174" s="310"/>
      <c r="E174" s="338">
        <v>0</v>
      </c>
      <c r="F174" s="300"/>
      <c r="G174" s="338">
        <v>0</v>
      </c>
      <c r="H174" s="300"/>
      <c r="I174" s="338">
        <v>0</v>
      </c>
      <c r="J174" s="300"/>
      <c r="K174" s="339">
        <v>0</v>
      </c>
      <c r="L174" s="300"/>
      <c r="M174" s="338">
        <v>0</v>
      </c>
      <c r="N174" s="300"/>
      <c r="O174" s="338">
        <v>0</v>
      </c>
      <c r="P174" s="300"/>
      <c r="Q174" s="338">
        <v>0</v>
      </c>
      <c r="R174" s="300"/>
      <c r="S174" s="339" t="s">
        <v>56</v>
      </c>
      <c r="T174" s="300"/>
      <c r="U174" s="339" t="s">
        <v>56</v>
      </c>
      <c r="V174" s="300"/>
      <c r="W174" s="338">
        <v>0</v>
      </c>
      <c r="X174" s="300"/>
      <c r="Y174" s="338">
        <v>0</v>
      </c>
      <c r="Z174" s="300"/>
      <c r="AA174" s="299">
        <v>0</v>
      </c>
      <c r="AB174" s="300"/>
      <c r="AC174" s="340">
        <v>0</v>
      </c>
      <c r="AD174" s="300"/>
      <c r="AE174" s="338">
        <v>0</v>
      </c>
      <c r="AF174" s="300"/>
      <c r="AG174" s="338">
        <v>0</v>
      </c>
      <c r="AH174" s="300"/>
      <c r="AI174" s="338">
        <v>0</v>
      </c>
      <c r="AJ174" s="300"/>
      <c r="AK174" s="339" t="s">
        <v>56</v>
      </c>
      <c r="AL174" s="300"/>
      <c r="AM174" s="339" t="s">
        <v>56</v>
      </c>
      <c r="AN174" s="300"/>
      <c r="AO174" s="341">
        <f>E174+G174+I174+M174+O174+Q174+W174+Y174+AA174+AC174+AE174+AG174+AI174</f>
        <v>0</v>
      </c>
      <c r="AP174" s="297"/>
      <c r="AQ174" s="262"/>
    </row>
    <row r="175" spans="1:43" s="312" customFormat="1" ht="18.75" x14ac:dyDescent="0.3">
      <c r="A175" s="297"/>
      <c r="B175" s="298" t="s">
        <v>472</v>
      </c>
      <c r="C175" s="326" t="s">
        <v>113</v>
      </c>
      <c r="D175" s="310"/>
      <c r="E175" s="338">
        <v>0</v>
      </c>
      <c r="F175" s="300"/>
      <c r="G175" s="338">
        <v>0</v>
      </c>
      <c r="H175" s="300"/>
      <c r="I175" s="338">
        <v>0</v>
      </c>
      <c r="J175" s="300"/>
      <c r="K175" s="339">
        <v>0</v>
      </c>
      <c r="L175" s="300"/>
      <c r="M175" s="338">
        <v>0</v>
      </c>
      <c r="N175" s="300"/>
      <c r="O175" s="338">
        <v>0</v>
      </c>
      <c r="P175" s="300"/>
      <c r="Q175" s="338">
        <v>0</v>
      </c>
      <c r="R175" s="300"/>
      <c r="S175" s="339" t="s">
        <v>56</v>
      </c>
      <c r="T175" s="300"/>
      <c r="U175" s="339" t="s">
        <v>56</v>
      </c>
      <c r="V175" s="300"/>
      <c r="W175" s="338">
        <v>0</v>
      </c>
      <c r="X175" s="300"/>
      <c r="Y175" s="338">
        <v>0</v>
      </c>
      <c r="Z175" s="300"/>
      <c r="AA175" s="299">
        <v>0</v>
      </c>
      <c r="AB175" s="300"/>
      <c r="AC175" s="340">
        <v>0</v>
      </c>
      <c r="AD175" s="300"/>
      <c r="AE175" s="338">
        <v>0</v>
      </c>
      <c r="AF175" s="300"/>
      <c r="AG175" s="338">
        <v>0</v>
      </c>
      <c r="AH175" s="300"/>
      <c r="AI175" s="338">
        <v>0</v>
      </c>
      <c r="AJ175" s="300"/>
      <c r="AK175" s="339" t="s">
        <v>56</v>
      </c>
      <c r="AL175" s="300"/>
      <c r="AM175" s="339" t="s">
        <v>56</v>
      </c>
      <c r="AN175" s="300"/>
      <c r="AO175" s="341">
        <f>E175+G175+I175+M175+O175+Q175+W175+Y175+AA175+AC175+AE175+AG175+AI175</f>
        <v>0</v>
      </c>
      <c r="AP175" s="297"/>
      <c r="AQ175" s="262"/>
    </row>
    <row r="176" spans="1:43" s="312" customFormat="1" ht="19.5" thickBot="1" x14ac:dyDescent="0.35">
      <c r="A176" s="297"/>
      <c r="B176" s="298" t="s">
        <v>473</v>
      </c>
      <c r="C176" s="326" t="s">
        <v>114</v>
      </c>
      <c r="D176" s="297"/>
      <c r="E176" s="343">
        <v>0</v>
      </c>
      <c r="F176" s="300"/>
      <c r="G176" s="343">
        <v>0</v>
      </c>
      <c r="H176" s="300"/>
      <c r="I176" s="343">
        <v>0</v>
      </c>
      <c r="J176" s="300"/>
      <c r="K176" s="344">
        <f>(5804976-954535+11952+300000)*0</f>
        <v>0</v>
      </c>
      <c r="L176" s="300"/>
      <c r="M176" s="343">
        <v>0</v>
      </c>
      <c r="N176" s="300"/>
      <c r="O176" s="343">
        <v>0</v>
      </c>
      <c r="P176" s="300"/>
      <c r="Q176" s="343">
        <v>0</v>
      </c>
      <c r="R176" s="300"/>
      <c r="S176" s="313">
        <v>0</v>
      </c>
      <c r="T176" s="300"/>
      <c r="U176" s="313">
        <v>0</v>
      </c>
      <c r="V176" s="300"/>
      <c r="W176" s="343">
        <v>0</v>
      </c>
      <c r="X176" s="300"/>
      <c r="Y176" s="343">
        <v>0</v>
      </c>
      <c r="Z176" s="300"/>
      <c r="AA176" s="299">
        <v>9912843</v>
      </c>
      <c r="AB176" s="300"/>
      <c r="AC176" s="299">
        <v>0</v>
      </c>
      <c r="AD176" s="300"/>
      <c r="AE176" s="343">
        <v>0</v>
      </c>
      <c r="AF176" s="300"/>
      <c r="AG176" s="343">
        <v>0</v>
      </c>
      <c r="AH176" s="300"/>
      <c r="AI176" s="343">
        <v>0</v>
      </c>
      <c r="AJ176" s="300"/>
      <c r="AK176" s="313">
        <v>0</v>
      </c>
      <c r="AL176" s="300"/>
      <c r="AM176" s="313">
        <v>0</v>
      </c>
      <c r="AN176" s="300"/>
      <c r="AO176" s="311">
        <f>E176+K176+G176+I176+M176+O176+Q176+S176+U176+W176+Y176+AA176+AC176+AE176+AG176+AI176+AK176+AM176</f>
        <v>9912843</v>
      </c>
      <c r="AP176" s="297"/>
      <c r="AQ176" s="262"/>
    </row>
    <row r="177" spans="1:48" s="312" customFormat="1" ht="19.5" thickBot="1" x14ac:dyDescent="0.35">
      <c r="A177" s="297"/>
      <c r="B177" s="314" t="s">
        <v>495</v>
      </c>
      <c r="C177" s="315"/>
      <c r="D177" s="316"/>
      <c r="E177" s="317">
        <f>SUM(E171:E176)</f>
        <v>0</v>
      </c>
      <c r="F177" s="318"/>
      <c r="G177" s="317">
        <f>SUM(G171:G176)</f>
        <v>0</v>
      </c>
      <c r="H177" s="318"/>
      <c r="I177" s="317">
        <f>SUM(I171:I176)</f>
        <v>0</v>
      </c>
      <c r="J177" s="318"/>
      <c r="K177" s="317">
        <f>SUM(K171:K176)</f>
        <v>0</v>
      </c>
      <c r="L177" s="318"/>
      <c r="M177" s="317">
        <f>SUM(M171:M176)</f>
        <v>0</v>
      </c>
      <c r="N177" s="318"/>
      <c r="O177" s="317">
        <f>SUM(O171:O176)</f>
        <v>0</v>
      </c>
      <c r="P177" s="318"/>
      <c r="Q177" s="317">
        <f>SUM(Q171:Q176)</f>
        <v>0</v>
      </c>
      <c r="R177" s="318"/>
      <c r="S177" s="317">
        <f>SUM(S171:S176)</f>
        <v>0</v>
      </c>
      <c r="T177" s="318"/>
      <c r="U177" s="317">
        <f>SUM(U171:U176)</f>
        <v>0</v>
      </c>
      <c r="V177" s="318"/>
      <c r="W177" s="317">
        <f>SUM(W171:W176)</f>
        <v>0</v>
      </c>
      <c r="X177" s="318"/>
      <c r="Y177" s="317">
        <f>SUM(Y171:Y176)</f>
        <v>0</v>
      </c>
      <c r="Z177" s="318"/>
      <c r="AA177" s="317">
        <f>SUM(AA171:AA176)</f>
        <v>9934875</v>
      </c>
      <c r="AB177" s="318"/>
      <c r="AC177" s="317">
        <f>SUM(AC171:AC176)</f>
        <v>0</v>
      </c>
      <c r="AD177" s="318"/>
      <c r="AE177" s="317">
        <f>SUM(AE171:AE176)</f>
        <v>0</v>
      </c>
      <c r="AF177" s="318"/>
      <c r="AG177" s="317">
        <f>SUM(AG171:AG176)</f>
        <v>0</v>
      </c>
      <c r="AH177" s="318"/>
      <c r="AI177" s="317">
        <f>SUM(AI171:AI176)</f>
        <v>0</v>
      </c>
      <c r="AJ177" s="318"/>
      <c r="AK177" s="317">
        <f>SUM(AK171:AK176)</f>
        <v>0</v>
      </c>
      <c r="AL177" s="318"/>
      <c r="AM177" s="317">
        <f>SUM(AM171:AM176)</f>
        <v>0</v>
      </c>
      <c r="AN177" s="318"/>
      <c r="AO177" s="317">
        <f>SUM(AO171:AO176)</f>
        <v>9934875</v>
      </c>
      <c r="AP177" s="297"/>
      <c r="AQ177" s="262"/>
    </row>
    <row r="178" spans="1:48" s="312" customFormat="1" ht="19.5" thickBot="1" x14ac:dyDescent="0.35">
      <c r="A178" s="297"/>
      <c r="B178" s="298"/>
      <c r="C178" s="309"/>
      <c r="D178" s="345"/>
      <c r="E178" s="311"/>
      <c r="F178" s="319"/>
      <c r="G178" s="311"/>
      <c r="H178" s="319"/>
      <c r="I178" s="311"/>
      <c r="J178" s="319"/>
      <c r="K178" s="311"/>
      <c r="L178" s="319"/>
      <c r="M178" s="311"/>
      <c r="N178" s="319"/>
      <c r="O178" s="311"/>
      <c r="P178" s="319"/>
      <c r="Q178" s="311"/>
      <c r="R178" s="319"/>
      <c r="S178" s="311"/>
      <c r="T178" s="319"/>
      <c r="U178" s="311"/>
      <c r="V178" s="319"/>
      <c r="W178" s="311"/>
      <c r="X178" s="319"/>
      <c r="Y178" s="311"/>
      <c r="Z178" s="319"/>
      <c r="AA178" s="311"/>
      <c r="AB178" s="319"/>
      <c r="AC178" s="311"/>
      <c r="AD178" s="319"/>
      <c r="AE178" s="311"/>
      <c r="AF178" s="319"/>
      <c r="AG178" s="311"/>
      <c r="AH178" s="319"/>
      <c r="AI178" s="311"/>
      <c r="AJ178" s="319"/>
      <c r="AK178" s="311"/>
      <c r="AL178" s="319"/>
      <c r="AM178" s="311"/>
      <c r="AN178" s="319"/>
      <c r="AO178" s="311"/>
      <c r="AP178" s="297"/>
      <c r="AQ178" s="262"/>
    </row>
    <row r="179" spans="1:48" s="312" customFormat="1" ht="19.5" thickBot="1" x14ac:dyDescent="0.35">
      <c r="A179" s="297"/>
      <c r="B179" s="314" t="s">
        <v>496</v>
      </c>
      <c r="C179" s="315"/>
      <c r="D179" s="316"/>
      <c r="E179" s="317">
        <f>SUM(E159+E39+E177+E168)</f>
        <v>26903483</v>
      </c>
      <c r="F179" s="318"/>
      <c r="G179" s="317">
        <f>SUM(G159+G39+G177+G168)</f>
        <v>1380826</v>
      </c>
      <c r="H179" s="318"/>
      <c r="I179" s="317">
        <f>SUM(I159+I39+I177+I168)</f>
        <v>0</v>
      </c>
      <c r="J179" s="318"/>
      <c r="K179" s="317">
        <f>SUM(K159+K39+K177+K168)</f>
        <v>0</v>
      </c>
      <c r="L179" s="318"/>
      <c r="M179" s="317">
        <f>SUM(M159+M39+M177+M168)</f>
        <v>1429322</v>
      </c>
      <c r="N179" s="318"/>
      <c r="O179" s="317">
        <f>SUM(O159+O39+O177+O168)</f>
        <v>337556</v>
      </c>
      <c r="P179" s="318"/>
      <c r="Q179" s="317">
        <f>SUM(Q159+Q39+Q177+Q168)</f>
        <v>205975</v>
      </c>
      <c r="R179" s="318"/>
      <c r="S179" s="317">
        <f>SUM(S159+S39+S177+S168)</f>
        <v>0</v>
      </c>
      <c r="T179" s="318"/>
      <c r="U179" s="317">
        <f>SUM(U159+U39+U177+U168)</f>
        <v>0</v>
      </c>
      <c r="V179" s="318"/>
      <c r="W179" s="317">
        <f>SUM(W159+W39+W177+W168)</f>
        <v>298882</v>
      </c>
      <c r="X179" s="318"/>
      <c r="Y179" s="317">
        <f>SUM(Y159+Y39+Y177+Y168)</f>
        <v>589035</v>
      </c>
      <c r="Z179" s="318"/>
      <c r="AA179" s="317">
        <f>SUM(AA159+AA39+AA177+AA168)</f>
        <v>9934875</v>
      </c>
      <c r="AB179" s="318"/>
      <c r="AC179" s="317">
        <f>SUM(AC159+AC39+AC177+AC168)</f>
        <v>0</v>
      </c>
      <c r="AD179" s="318"/>
      <c r="AE179" s="317">
        <f>SUM(AE159+AE39+AE177+AE168)</f>
        <v>2455000</v>
      </c>
      <c r="AF179" s="318"/>
      <c r="AG179" s="317">
        <f>SUM(AG159+AG39+AG177+AG168)</f>
        <v>750000</v>
      </c>
      <c r="AH179" s="318"/>
      <c r="AI179" s="317">
        <f>SUM(AI159+AI39+AI177+AI168)</f>
        <v>32510</v>
      </c>
      <c r="AJ179" s="318"/>
      <c r="AK179" s="317">
        <f>SUM(AK159+AK39+AK177+AK168)</f>
        <v>0</v>
      </c>
      <c r="AL179" s="318"/>
      <c r="AM179" s="317">
        <f>SUM(AM159+AM39+AM177+AM168)</f>
        <v>0</v>
      </c>
      <c r="AN179" s="318"/>
      <c r="AO179" s="317">
        <f>SUM(AO159+AO39+AO177+AO168)</f>
        <v>44317464</v>
      </c>
      <c r="AP179" s="297"/>
      <c r="AQ179" s="262"/>
    </row>
    <row r="180" spans="1:48" s="312" customFormat="1" ht="18.75" x14ac:dyDescent="0.3">
      <c r="A180" s="297"/>
      <c r="B180" s="298"/>
      <c r="C180" s="309"/>
      <c r="D180" s="310"/>
      <c r="E180" s="311"/>
      <c r="F180" s="319"/>
      <c r="G180" s="311"/>
      <c r="H180" s="319"/>
      <c r="I180" s="311"/>
      <c r="J180" s="319"/>
      <c r="K180" s="311"/>
      <c r="L180" s="319"/>
      <c r="M180" s="311"/>
      <c r="N180" s="319"/>
      <c r="O180" s="311"/>
      <c r="P180" s="319"/>
      <c r="Q180" s="311"/>
      <c r="R180" s="319"/>
      <c r="S180" s="311"/>
      <c r="T180" s="319"/>
      <c r="U180" s="311"/>
      <c r="V180" s="319"/>
      <c r="W180" s="311"/>
      <c r="X180" s="319"/>
      <c r="Y180" s="311"/>
      <c r="Z180" s="319"/>
      <c r="AA180" s="311"/>
      <c r="AB180" s="319"/>
      <c r="AC180" s="311"/>
      <c r="AD180" s="319"/>
      <c r="AE180" s="311"/>
      <c r="AF180" s="319"/>
      <c r="AG180" s="311"/>
      <c r="AH180" s="319"/>
      <c r="AI180" s="311"/>
      <c r="AJ180" s="319"/>
      <c r="AK180" s="311"/>
      <c r="AL180" s="319"/>
      <c r="AM180" s="311"/>
      <c r="AN180" s="319"/>
      <c r="AO180" s="311"/>
      <c r="AP180" s="297"/>
      <c r="AQ180" s="262"/>
    </row>
    <row r="181" spans="1:48" s="312" customFormat="1" ht="18.75" x14ac:dyDescent="0.3">
      <c r="A181" s="297"/>
      <c r="B181" s="298" t="s">
        <v>128</v>
      </c>
      <c r="C181" s="309"/>
      <c r="D181" s="310"/>
      <c r="E181" s="311"/>
      <c r="F181" s="319"/>
      <c r="G181" s="311"/>
      <c r="H181" s="319"/>
      <c r="I181" s="311"/>
      <c r="J181" s="319"/>
      <c r="K181" s="311"/>
      <c r="L181" s="319"/>
      <c r="M181" s="311"/>
      <c r="N181" s="319"/>
      <c r="O181" s="311"/>
      <c r="P181" s="319"/>
      <c r="Q181" s="311"/>
      <c r="R181" s="319"/>
      <c r="S181" s="311"/>
      <c r="T181" s="319"/>
      <c r="U181" s="311"/>
      <c r="V181" s="319"/>
      <c r="W181" s="311"/>
      <c r="X181" s="319"/>
      <c r="Y181" s="311"/>
      <c r="Z181" s="319"/>
      <c r="AA181" s="311"/>
      <c r="AB181" s="319"/>
      <c r="AC181" s="311"/>
      <c r="AD181" s="319"/>
      <c r="AE181" s="311"/>
      <c r="AF181" s="319"/>
      <c r="AG181" s="311"/>
      <c r="AH181" s="319"/>
      <c r="AI181" s="311"/>
      <c r="AJ181" s="319"/>
      <c r="AK181" s="311"/>
      <c r="AL181" s="319"/>
      <c r="AM181" s="311"/>
      <c r="AN181" s="319"/>
      <c r="AO181" s="311"/>
      <c r="AP181" s="297"/>
      <c r="AQ181" s="262"/>
    </row>
    <row r="182" spans="1:48" s="312" customFormat="1" ht="23.25" x14ac:dyDescent="0.35">
      <c r="A182" s="297"/>
      <c r="B182" s="281" t="s">
        <v>497</v>
      </c>
      <c r="C182" s="346" t="s">
        <v>129</v>
      </c>
      <c r="D182" s="310"/>
      <c r="E182" s="299">
        <v>0</v>
      </c>
      <c r="F182" s="300"/>
      <c r="G182" s="299">
        <v>0</v>
      </c>
      <c r="H182" s="300"/>
      <c r="I182" s="299">
        <v>0</v>
      </c>
      <c r="J182" s="300"/>
      <c r="K182" s="313">
        <v>0</v>
      </c>
      <c r="L182" s="300"/>
      <c r="M182" s="299">
        <v>330576</v>
      </c>
      <c r="N182" s="300"/>
      <c r="O182" s="299">
        <v>0</v>
      </c>
      <c r="P182" s="300"/>
      <c r="Q182" s="299">
        <v>0</v>
      </c>
      <c r="R182" s="300"/>
      <c r="S182" s="299">
        <v>0</v>
      </c>
      <c r="T182" s="300"/>
      <c r="U182" s="299">
        <v>0</v>
      </c>
      <c r="V182" s="300"/>
      <c r="W182" s="299">
        <v>0</v>
      </c>
      <c r="X182" s="300"/>
      <c r="Y182" s="299">
        <v>0</v>
      </c>
      <c r="Z182" s="300"/>
      <c r="AA182" s="299">
        <v>0</v>
      </c>
      <c r="AB182" s="300"/>
      <c r="AC182" s="299">
        <v>0</v>
      </c>
      <c r="AD182" s="300"/>
      <c r="AE182" s="299">
        <v>0</v>
      </c>
      <c r="AF182" s="300"/>
      <c r="AG182" s="299">
        <v>0</v>
      </c>
      <c r="AH182" s="300"/>
      <c r="AI182" s="299">
        <v>0</v>
      </c>
      <c r="AJ182" s="300"/>
      <c r="AK182" s="313">
        <v>0</v>
      </c>
      <c r="AL182" s="300"/>
      <c r="AM182" s="313">
        <v>0</v>
      </c>
      <c r="AN182" s="300"/>
      <c r="AO182" s="311">
        <f t="shared" ref="AO182:AO189" si="25">E182+K182+G182+I182+M182+O182+Q182+S182+U182+W182+Y182+AA182+AC182+AE182+AG182+AI182+AK182+AM182</f>
        <v>330576</v>
      </c>
      <c r="AP182" s="297"/>
      <c r="AQ182" s="262"/>
      <c r="AS182" s="347"/>
      <c r="AT182" s="348"/>
      <c r="AU182" s="349"/>
      <c r="AV182" s="350"/>
    </row>
    <row r="183" spans="1:48" s="312" customFormat="1" ht="57" x14ac:dyDescent="0.35">
      <c r="A183" s="297"/>
      <c r="B183" s="281" t="s">
        <v>498</v>
      </c>
      <c r="C183" s="346" t="s">
        <v>130</v>
      </c>
      <c r="D183" s="310"/>
      <c r="E183" s="313">
        <v>0</v>
      </c>
      <c r="F183" s="300"/>
      <c r="G183" s="313">
        <v>0</v>
      </c>
      <c r="H183" s="300"/>
      <c r="I183" s="313">
        <v>0</v>
      </c>
      <c r="J183" s="300"/>
      <c r="K183" s="313">
        <v>0</v>
      </c>
      <c r="L183" s="300"/>
      <c r="M183" s="313">
        <v>0</v>
      </c>
      <c r="N183" s="300"/>
      <c r="O183" s="313">
        <v>0</v>
      </c>
      <c r="P183" s="300"/>
      <c r="Q183" s="313">
        <v>0</v>
      </c>
      <c r="R183" s="300"/>
      <c r="S183" s="299">
        <v>0</v>
      </c>
      <c r="T183" s="300"/>
      <c r="U183" s="299">
        <v>0</v>
      </c>
      <c r="V183" s="300"/>
      <c r="W183" s="313">
        <v>0</v>
      </c>
      <c r="X183" s="300"/>
      <c r="Y183" s="313">
        <v>0</v>
      </c>
      <c r="Z183" s="300"/>
      <c r="AA183" s="313">
        <f>8976980+1339962-10000+401490</f>
        <v>10708432</v>
      </c>
      <c r="AB183" s="300"/>
      <c r="AC183" s="313">
        <v>0</v>
      </c>
      <c r="AD183" s="300"/>
      <c r="AE183" s="313">
        <v>0</v>
      </c>
      <c r="AF183" s="300"/>
      <c r="AG183" s="313">
        <v>0</v>
      </c>
      <c r="AH183" s="300"/>
      <c r="AI183" s="313">
        <v>0</v>
      </c>
      <c r="AJ183" s="300"/>
      <c r="AK183" s="313">
        <v>0</v>
      </c>
      <c r="AL183" s="300"/>
      <c r="AM183" s="313">
        <v>0</v>
      </c>
      <c r="AN183" s="300"/>
      <c r="AO183" s="311">
        <f t="shared" si="25"/>
        <v>10708432</v>
      </c>
      <c r="AP183" s="297"/>
      <c r="AQ183" s="262"/>
      <c r="AS183" s="347"/>
      <c r="AT183" s="348"/>
      <c r="AU183" s="349"/>
      <c r="AV183" s="350"/>
    </row>
    <row r="184" spans="1:48" s="312" customFormat="1" ht="38.25" x14ac:dyDescent="0.35">
      <c r="A184" s="297"/>
      <c r="B184" s="281" t="s">
        <v>429</v>
      </c>
      <c r="C184" s="346" t="s">
        <v>131</v>
      </c>
      <c r="D184" s="310"/>
      <c r="E184" s="299">
        <f>729492+222508</f>
        <v>952000</v>
      </c>
      <c r="F184" s="300"/>
      <c r="G184" s="299">
        <v>0</v>
      </c>
      <c r="H184" s="300"/>
      <c r="I184" s="299">
        <v>0</v>
      </c>
      <c r="J184" s="300"/>
      <c r="K184" s="313">
        <v>0</v>
      </c>
      <c r="L184" s="300"/>
      <c r="M184" s="299">
        <v>0</v>
      </c>
      <c r="N184" s="300"/>
      <c r="O184" s="299">
        <v>0</v>
      </c>
      <c r="P184" s="300"/>
      <c r="Q184" s="299">
        <v>0</v>
      </c>
      <c r="R184" s="300"/>
      <c r="S184" s="313">
        <v>0</v>
      </c>
      <c r="T184" s="300"/>
      <c r="U184" s="313">
        <v>0</v>
      </c>
      <c r="V184" s="300"/>
      <c r="W184" s="299">
        <v>0</v>
      </c>
      <c r="X184" s="300"/>
      <c r="Y184" s="299">
        <v>0</v>
      </c>
      <c r="Z184" s="300"/>
      <c r="AA184" s="299">
        <v>0</v>
      </c>
      <c r="AB184" s="300"/>
      <c r="AC184" s="299">
        <v>0</v>
      </c>
      <c r="AD184" s="300"/>
      <c r="AE184" s="299">
        <v>0</v>
      </c>
      <c r="AF184" s="300"/>
      <c r="AG184" s="299">
        <v>0</v>
      </c>
      <c r="AH184" s="300"/>
      <c r="AI184" s="299">
        <v>0</v>
      </c>
      <c r="AJ184" s="300"/>
      <c r="AK184" s="313">
        <v>0</v>
      </c>
      <c r="AL184" s="300"/>
      <c r="AM184" s="313">
        <v>0</v>
      </c>
      <c r="AN184" s="300"/>
      <c r="AO184" s="302">
        <f t="shared" si="25"/>
        <v>952000</v>
      </c>
      <c r="AP184" s="297"/>
      <c r="AQ184" s="262"/>
      <c r="AS184" s="347"/>
      <c r="AT184" s="348"/>
      <c r="AU184" s="349"/>
      <c r="AV184" s="350"/>
    </row>
    <row r="185" spans="1:48" s="312" customFormat="1" ht="23.25" x14ac:dyDescent="0.35">
      <c r="A185" s="297"/>
      <c r="B185" s="281" t="s">
        <v>499</v>
      </c>
      <c r="C185" s="346" t="s">
        <v>132</v>
      </c>
      <c r="D185" s="310"/>
      <c r="E185" s="299">
        <f>513446-10206+1</f>
        <v>503241</v>
      </c>
      <c r="F185" s="300"/>
      <c r="G185" s="299">
        <v>0</v>
      </c>
      <c r="H185" s="300"/>
      <c r="I185" s="299">
        <v>0</v>
      </c>
      <c r="J185" s="300"/>
      <c r="K185" s="313">
        <v>0</v>
      </c>
      <c r="L185" s="300"/>
      <c r="M185" s="299">
        <v>0</v>
      </c>
      <c r="N185" s="300"/>
      <c r="O185" s="299">
        <v>0</v>
      </c>
      <c r="P185" s="300"/>
      <c r="Q185" s="299">
        <v>0</v>
      </c>
      <c r="R185" s="300"/>
      <c r="S185" s="313">
        <v>0</v>
      </c>
      <c r="T185" s="300"/>
      <c r="U185" s="313">
        <v>0</v>
      </c>
      <c r="V185" s="300"/>
      <c r="W185" s="299">
        <v>0</v>
      </c>
      <c r="X185" s="300"/>
      <c r="Y185" s="299">
        <v>0</v>
      </c>
      <c r="Z185" s="300"/>
      <c r="AA185" s="299">
        <v>0</v>
      </c>
      <c r="AB185" s="300"/>
      <c r="AC185" s="299">
        <v>0</v>
      </c>
      <c r="AD185" s="300"/>
      <c r="AE185" s="299">
        <v>0</v>
      </c>
      <c r="AF185" s="300"/>
      <c r="AG185" s="299">
        <v>0</v>
      </c>
      <c r="AH185" s="300"/>
      <c r="AI185" s="299">
        <v>0</v>
      </c>
      <c r="AJ185" s="300"/>
      <c r="AK185" s="313">
        <v>0</v>
      </c>
      <c r="AL185" s="300"/>
      <c r="AM185" s="313">
        <v>0</v>
      </c>
      <c r="AN185" s="300"/>
      <c r="AO185" s="311">
        <f t="shared" si="25"/>
        <v>503241</v>
      </c>
      <c r="AP185" s="297"/>
      <c r="AQ185" s="262"/>
      <c r="AS185" s="347"/>
      <c r="AT185" s="348"/>
      <c r="AU185" s="349"/>
      <c r="AV185" s="350"/>
    </row>
    <row r="186" spans="1:48" s="312" customFormat="1" ht="38.25" x14ac:dyDescent="0.35">
      <c r="A186" s="297"/>
      <c r="B186" s="281" t="s">
        <v>430</v>
      </c>
      <c r="C186" s="346" t="s">
        <v>133</v>
      </c>
      <c r="D186" s="310"/>
      <c r="E186" s="299">
        <v>0</v>
      </c>
      <c r="F186" s="300"/>
      <c r="G186" s="299">
        <v>0</v>
      </c>
      <c r="H186" s="300"/>
      <c r="I186" s="299">
        <v>0</v>
      </c>
      <c r="J186" s="300"/>
      <c r="K186" s="313">
        <v>0</v>
      </c>
      <c r="L186" s="300"/>
      <c r="M186" s="299">
        <v>0</v>
      </c>
      <c r="N186" s="300"/>
      <c r="O186" s="299">
        <v>0</v>
      </c>
      <c r="P186" s="300"/>
      <c r="Q186" s="299">
        <v>0</v>
      </c>
      <c r="R186" s="300"/>
      <c r="S186" s="313">
        <v>0</v>
      </c>
      <c r="T186" s="300"/>
      <c r="U186" s="313">
        <v>0</v>
      </c>
      <c r="V186" s="300"/>
      <c r="W186" s="299">
        <v>0</v>
      </c>
      <c r="X186" s="300"/>
      <c r="Y186" s="299">
        <v>0</v>
      </c>
      <c r="Z186" s="300"/>
      <c r="AA186" s="299">
        <v>0</v>
      </c>
      <c r="AB186" s="300"/>
      <c r="AC186" s="299">
        <v>0</v>
      </c>
      <c r="AD186" s="300"/>
      <c r="AE186" s="299">
        <v>0</v>
      </c>
      <c r="AF186" s="300"/>
      <c r="AG186" s="299">
        <v>0</v>
      </c>
      <c r="AH186" s="300"/>
      <c r="AI186" s="299">
        <v>0</v>
      </c>
      <c r="AJ186" s="300"/>
      <c r="AK186" s="313">
        <v>0</v>
      </c>
      <c r="AL186" s="300"/>
      <c r="AM186" s="313">
        <v>0</v>
      </c>
      <c r="AN186" s="300"/>
      <c r="AO186" s="311">
        <f t="shared" si="25"/>
        <v>0</v>
      </c>
      <c r="AP186" s="297"/>
      <c r="AQ186" s="262"/>
      <c r="AS186" s="347"/>
      <c r="AT186" s="348"/>
      <c r="AU186" s="349"/>
      <c r="AV186" s="350"/>
    </row>
    <row r="187" spans="1:48" s="312" customFormat="1" ht="23.25" x14ac:dyDescent="0.35">
      <c r="A187" s="297"/>
      <c r="B187" s="281" t="s">
        <v>500</v>
      </c>
      <c r="C187" s="346" t="s">
        <v>134</v>
      </c>
      <c r="D187" s="310"/>
      <c r="E187" s="299">
        <v>1500000</v>
      </c>
      <c r="F187" s="300"/>
      <c r="G187" s="299">
        <v>0</v>
      </c>
      <c r="H187" s="300"/>
      <c r="I187" s="299">
        <v>0</v>
      </c>
      <c r="J187" s="300"/>
      <c r="K187" s="313">
        <v>0</v>
      </c>
      <c r="L187" s="300"/>
      <c r="M187" s="299">
        <v>0</v>
      </c>
      <c r="N187" s="300"/>
      <c r="O187" s="299">
        <v>0</v>
      </c>
      <c r="P187" s="300"/>
      <c r="Q187" s="299">
        <v>0</v>
      </c>
      <c r="R187" s="300"/>
      <c r="S187" s="313"/>
      <c r="T187" s="300"/>
      <c r="U187" s="313"/>
      <c r="V187" s="300"/>
      <c r="W187" s="299">
        <f>995730+817600</f>
        <v>1813330</v>
      </c>
      <c r="X187" s="300"/>
      <c r="Y187" s="299">
        <v>0</v>
      </c>
      <c r="Z187" s="300"/>
      <c r="AA187" s="299">
        <v>0</v>
      </c>
      <c r="AB187" s="300"/>
      <c r="AC187" s="299">
        <v>0</v>
      </c>
      <c r="AD187" s="300"/>
      <c r="AE187" s="299">
        <v>500000</v>
      </c>
      <c r="AF187" s="300"/>
      <c r="AG187" s="299">
        <v>0</v>
      </c>
      <c r="AH187" s="300"/>
      <c r="AI187" s="299">
        <v>0</v>
      </c>
      <c r="AJ187" s="300"/>
      <c r="AK187" s="313"/>
      <c r="AL187" s="300"/>
      <c r="AM187" s="313"/>
      <c r="AN187" s="300"/>
      <c r="AO187" s="311">
        <f t="shared" si="25"/>
        <v>3813330</v>
      </c>
      <c r="AP187" s="297"/>
      <c r="AQ187" s="262"/>
      <c r="AS187" s="347"/>
      <c r="AT187" s="348"/>
      <c r="AU187" s="349"/>
      <c r="AV187" s="350"/>
    </row>
    <row r="188" spans="1:48" s="312" customFormat="1" ht="23.25" x14ac:dyDescent="0.35">
      <c r="A188" s="297"/>
      <c r="B188" s="281" t="s">
        <v>501</v>
      </c>
      <c r="C188" s="346" t="s">
        <v>135</v>
      </c>
      <c r="D188" s="310"/>
      <c r="E188" s="299">
        <f>3362687+147300+834507+628264+35000</f>
        <v>5007758</v>
      </c>
      <c r="F188" s="300"/>
      <c r="G188" s="299">
        <f>289336+23</f>
        <v>289359</v>
      </c>
      <c r="H188" s="300"/>
      <c r="I188" s="299">
        <v>0</v>
      </c>
      <c r="J188" s="300"/>
      <c r="K188" s="299">
        <f>195000*0</f>
        <v>0</v>
      </c>
      <c r="L188" s="300"/>
      <c r="M188" s="299">
        <v>0</v>
      </c>
      <c r="N188" s="300"/>
      <c r="O188" s="299">
        <v>0</v>
      </c>
      <c r="P188" s="300"/>
      <c r="Q188" s="299">
        <f>25305+108846</f>
        <v>134151</v>
      </c>
      <c r="R188" s="300"/>
      <c r="S188" s="313"/>
      <c r="T188" s="300"/>
      <c r="U188" s="313"/>
      <c r="V188" s="300"/>
      <c r="W188" s="299">
        <v>0</v>
      </c>
      <c r="X188" s="300"/>
      <c r="Y188" s="299">
        <f>435691+78423</f>
        <v>514114</v>
      </c>
      <c r="Z188" s="300"/>
      <c r="AA188" s="299">
        <v>0</v>
      </c>
      <c r="AB188" s="300"/>
      <c r="AC188" s="299">
        <v>0</v>
      </c>
      <c r="AD188" s="300"/>
      <c r="AE188" s="299">
        <v>17768749</v>
      </c>
      <c r="AF188" s="300"/>
      <c r="AG188" s="299">
        <v>400036</v>
      </c>
      <c r="AH188" s="300"/>
      <c r="AI188" s="299">
        <f>450346+74973</f>
        <v>525319</v>
      </c>
      <c r="AJ188" s="300"/>
      <c r="AK188" s="313"/>
      <c r="AL188" s="300"/>
      <c r="AM188" s="313"/>
      <c r="AN188" s="300"/>
      <c r="AO188" s="311">
        <f t="shared" si="25"/>
        <v>24639486</v>
      </c>
      <c r="AP188" s="297"/>
      <c r="AQ188" s="262"/>
      <c r="AS188" s="347"/>
      <c r="AT188" s="348"/>
      <c r="AU188" s="349"/>
      <c r="AV188" s="350"/>
    </row>
    <row r="189" spans="1:48" s="312" customFormat="1" ht="22.9" customHeight="1" thickBot="1" x14ac:dyDescent="0.35">
      <c r="A189" s="297"/>
      <c r="B189" s="281" t="s">
        <v>502</v>
      </c>
      <c r="C189" s="346" t="s">
        <v>136</v>
      </c>
      <c r="D189" s="297"/>
      <c r="E189" s="299">
        <f>8846288+307868</f>
        <v>9154156</v>
      </c>
      <c r="F189" s="300"/>
      <c r="G189" s="299">
        <v>0</v>
      </c>
      <c r="H189" s="300"/>
      <c r="I189" s="299">
        <v>0</v>
      </c>
      <c r="J189" s="300"/>
      <c r="K189" s="313">
        <v>0</v>
      </c>
      <c r="L189" s="300"/>
      <c r="M189" s="299">
        <v>0</v>
      </c>
      <c r="N189" s="300"/>
      <c r="O189" s="299">
        <v>0</v>
      </c>
      <c r="P189" s="300"/>
      <c r="Q189" s="299">
        <v>0</v>
      </c>
      <c r="R189" s="300"/>
      <c r="S189" s="313">
        <v>0</v>
      </c>
      <c r="T189" s="300"/>
      <c r="U189" s="313">
        <v>0</v>
      </c>
      <c r="V189" s="300"/>
      <c r="W189" s="299">
        <v>0</v>
      </c>
      <c r="X189" s="300"/>
      <c r="Y189" s="299">
        <v>0</v>
      </c>
      <c r="Z189" s="300"/>
      <c r="AA189" s="299">
        <v>0</v>
      </c>
      <c r="AB189" s="300"/>
      <c r="AC189" s="299">
        <v>0</v>
      </c>
      <c r="AD189" s="300"/>
      <c r="AE189" s="299">
        <v>0</v>
      </c>
      <c r="AF189" s="300"/>
      <c r="AG189" s="299">
        <v>0</v>
      </c>
      <c r="AH189" s="300"/>
      <c r="AI189" s="299">
        <v>0</v>
      </c>
      <c r="AJ189" s="300"/>
      <c r="AK189" s="313">
        <v>0</v>
      </c>
      <c r="AL189" s="300"/>
      <c r="AM189" s="313">
        <v>0</v>
      </c>
      <c r="AN189" s="300"/>
      <c r="AO189" s="311">
        <f t="shared" si="25"/>
        <v>9154156</v>
      </c>
      <c r="AP189" s="297"/>
      <c r="AQ189" s="262"/>
    </row>
    <row r="190" spans="1:48" s="312" customFormat="1" ht="22.9" customHeight="1" thickBot="1" x14ac:dyDescent="0.35">
      <c r="A190" s="297"/>
      <c r="B190" s="314" t="s">
        <v>503</v>
      </c>
      <c r="C190" s="315"/>
      <c r="D190" s="316"/>
      <c r="E190" s="317">
        <f>SUM(E182:E189)</f>
        <v>17117155</v>
      </c>
      <c r="F190" s="318"/>
      <c r="G190" s="317">
        <f>SUM(G182:G189)</f>
        <v>289359</v>
      </c>
      <c r="H190" s="318"/>
      <c r="I190" s="317">
        <f>SUM(I182:I189)</f>
        <v>0</v>
      </c>
      <c r="J190" s="318"/>
      <c r="K190" s="317">
        <f>SUM(K182:K189)</f>
        <v>0</v>
      </c>
      <c r="L190" s="318"/>
      <c r="M190" s="317">
        <f>SUM(M182:M189)</f>
        <v>330576</v>
      </c>
      <c r="N190" s="318"/>
      <c r="O190" s="317">
        <f>SUM(O182:O189)</f>
        <v>0</v>
      </c>
      <c r="P190" s="318"/>
      <c r="Q190" s="317">
        <f>SUM(Q182:Q189)</f>
        <v>134151</v>
      </c>
      <c r="R190" s="318"/>
      <c r="S190" s="317">
        <f>SUM(S182:S189)</f>
        <v>0</v>
      </c>
      <c r="T190" s="318"/>
      <c r="U190" s="317">
        <f>SUM(U182:U189)</f>
        <v>0</v>
      </c>
      <c r="V190" s="318"/>
      <c r="W190" s="317">
        <f>SUM(W182:W189)</f>
        <v>1813330</v>
      </c>
      <c r="X190" s="318"/>
      <c r="Y190" s="317">
        <f>SUM(Y182:Y189)</f>
        <v>514114</v>
      </c>
      <c r="Z190" s="318"/>
      <c r="AA190" s="317">
        <f>SUM(AA182:AA189)</f>
        <v>10708432</v>
      </c>
      <c r="AB190" s="318"/>
      <c r="AC190" s="317">
        <f>SUM(AC182:AC189)</f>
        <v>0</v>
      </c>
      <c r="AD190" s="318"/>
      <c r="AE190" s="317">
        <f>SUM(AE182:AE189)</f>
        <v>18268749</v>
      </c>
      <c r="AF190" s="318"/>
      <c r="AG190" s="317">
        <f>SUM(AG182:AG189)</f>
        <v>400036</v>
      </c>
      <c r="AH190" s="318"/>
      <c r="AI190" s="317">
        <f>SUM(AI182:AI189)</f>
        <v>525319</v>
      </c>
      <c r="AJ190" s="318"/>
      <c r="AK190" s="317">
        <f>SUM(AK182:AK189)</f>
        <v>0</v>
      </c>
      <c r="AL190" s="318"/>
      <c r="AM190" s="317">
        <f>SUM(AM182:AM189)</f>
        <v>0</v>
      </c>
      <c r="AN190" s="318"/>
      <c r="AO190" s="317">
        <f>SUM(AO182:AO189)</f>
        <v>50101221</v>
      </c>
      <c r="AP190" s="297"/>
      <c r="AQ190" s="262"/>
    </row>
    <row r="191" spans="1:48" s="312" customFormat="1" ht="19.5" thickBot="1" x14ac:dyDescent="0.35">
      <c r="A191" s="297"/>
      <c r="B191" s="298"/>
      <c r="C191" s="309"/>
      <c r="D191" s="345"/>
      <c r="E191" s="311"/>
      <c r="F191" s="319"/>
      <c r="G191" s="311"/>
      <c r="H191" s="319"/>
      <c r="I191" s="311"/>
      <c r="J191" s="319"/>
      <c r="K191" s="311"/>
      <c r="L191" s="319"/>
      <c r="M191" s="311"/>
      <c r="N191" s="319"/>
      <c r="O191" s="311"/>
      <c r="P191" s="319"/>
      <c r="Q191" s="311"/>
      <c r="R191" s="319"/>
      <c r="S191" s="311"/>
      <c r="T191" s="319"/>
      <c r="U191" s="311"/>
      <c r="V191" s="319"/>
      <c r="W191" s="311"/>
      <c r="X191" s="319"/>
      <c r="Y191" s="311"/>
      <c r="Z191" s="319"/>
      <c r="AA191" s="311"/>
      <c r="AB191" s="319"/>
      <c r="AC191" s="311"/>
      <c r="AD191" s="319"/>
      <c r="AE191" s="311"/>
      <c r="AF191" s="319"/>
      <c r="AG191" s="311"/>
      <c r="AH191" s="319"/>
      <c r="AI191" s="311"/>
      <c r="AJ191" s="319"/>
      <c r="AK191" s="311"/>
      <c r="AL191" s="319"/>
      <c r="AM191" s="311"/>
      <c r="AN191" s="319"/>
      <c r="AO191" s="311"/>
      <c r="AP191" s="297"/>
      <c r="AQ191" s="262"/>
    </row>
    <row r="192" spans="1:48" s="312" customFormat="1" ht="19.5" thickBot="1" x14ac:dyDescent="0.35">
      <c r="A192" s="297"/>
      <c r="B192" s="314" t="s">
        <v>504</v>
      </c>
      <c r="C192" s="315"/>
      <c r="D192" s="316"/>
      <c r="E192" s="317">
        <f>E179+E190</f>
        <v>44020638</v>
      </c>
      <c r="F192" s="318"/>
      <c r="G192" s="317">
        <f>G179+G190</f>
        <v>1670185</v>
      </c>
      <c r="H192" s="318"/>
      <c r="I192" s="317">
        <f>I179+I190</f>
        <v>0</v>
      </c>
      <c r="J192" s="318"/>
      <c r="K192" s="317">
        <f>K179+K190</f>
        <v>0</v>
      </c>
      <c r="L192" s="318"/>
      <c r="M192" s="317">
        <f>M179+M190</f>
        <v>1759898</v>
      </c>
      <c r="N192" s="318"/>
      <c r="O192" s="317">
        <f>O179+O190</f>
        <v>337556</v>
      </c>
      <c r="P192" s="318"/>
      <c r="Q192" s="317">
        <f>Q179+Q190</f>
        <v>340126</v>
      </c>
      <c r="R192" s="318"/>
      <c r="S192" s="317">
        <f>S179+S190</f>
        <v>0</v>
      </c>
      <c r="T192" s="318"/>
      <c r="U192" s="317">
        <f>U179+U190</f>
        <v>0</v>
      </c>
      <c r="V192" s="318"/>
      <c r="W192" s="317">
        <f>W179+W190</f>
        <v>2112212</v>
      </c>
      <c r="X192" s="318"/>
      <c r="Y192" s="317">
        <f>Y179+Y190</f>
        <v>1103149</v>
      </c>
      <c r="Z192" s="318"/>
      <c r="AA192" s="317">
        <f>AA179+AA190</f>
        <v>20643307</v>
      </c>
      <c r="AB192" s="318"/>
      <c r="AC192" s="317">
        <f>AC179+AC190</f>
        <v>0</v>
      </c>
      <c r="AD192" s="318"/>
      <c r="AE192" s="317">
        <f>AE179+AE190</f>
        <v>20723749</v>
      </c>
      <c r="AF192" s="318"/>
      <c r="AG192" s="317">
        <f>AG179+AG190</f>
        <v>1150036</v>
      </c>
      <c r="AH192" s="318"/>
      <c r="AI192" s="317">
        <f>AI179+AI190</f>
        <v>557829</v>
      </c>
      <c r="AJ192" s="318"/>
      <c r="AK192" s="317">
        <f>AK179+AK190</f>
        <v>0</v>
      </c>
      <c r="AL192" s="318"/>
      <c r="AM192" s="317">
        <f>AM179+AM190</f>
        <v>0</v>
      </c>
      <c r="AN192" s="318"/>
      <c r="AO192" s="317">
        <f>AO179+AO190</f>
        <v>94418685</v>
      </c>
      <c r="AP192" s="297"/>
      <c r="AQ192" s="262"/>
    </row>
    <row r="193" spans="1:43" s="312" customFormat="1" ht="18.75" x14ac:dyDescent="0.3">
      <c r="A193" s="297"/>
      <c r="B193" s="298"/>
      <c r="C193" s="309"/>
      <c r="D193" s="337"/>
      <c r="E193" s="311"/>
      <c r="F193" s="319"/>
      <c r="G193" s="311"/>
      <c r="H193" s="319"/>
      <c r="I193" s="311"/>
      <c r="J193" s="319"/>
      <c r="K193" s="311"/>
      <c r="L193" s="319"/>
      <c r="M193" s="311"/>
      <c r="N193" s="319"/>
      <c r="O193" s="311"/>
      <c r="P193" s="319"/>
      <c r="Q193" s="311"/>
      <c r="R193" s="319"/>
      <c r="S193" s="311"/>
      <c r="T193" s="319"/>
      <c r="U193" s="311"/>
      <c r="V193" s="319"/>
      <c r="W193" s="311"/>
      <c r="X193" s="319"/>
      <c r="Y193" s="311"/>
      <c r="Z193" s="319"/>
      <c r="AA193" s="311"/>
      <c r="AB193" s="319"/>
      <c r="AC193" s="311"/>
      <c r="AD193" s="319"/>
      <c r="AE193" s="311"/>
      <c r="AF193" s="319"/>
      <c r="AG193" s="311"/>
      <c r="AH193" s="319"/>
      <c r="AI193" s="311"/>
      <c r="AJ193" s="319"/>
      <c r="AK193" s="311"/>
      <c r="AL193" s="319"/>
      <c r="AM193" s="311"/>
      <c r="AN193" s="319"/>
      <c r="AO193" s="311"/>
      <c r="AP193" s="297"/>
      <c r="AQ193" s="262"/>
    </row>
    <row r="194" spans="1:43" s="312" customFormat="1" ht="18.75" x14ac:dyDescent="0.3">
      <c r="A194" s="297"/>
      <c r="B194" s="298" t="s">
        <v>505</v>
      </c>
      <c r="C194" s="309"/>
      <c r="D194" s="337"/>
      <c r="E194" s="313">
        <v>0</v>
      </c>
      <c r="F194" s="300"/>
      <c r="G194" s="313">
        <v>0</v>
      </c>
      <c r="H194" s="300"/>
      <c r="I194" s="313">
        <v>0</v>
      </c>
      <c r="J194" s="300"/>
      <c r="K194" s="313">
        <v>0</v>
      </c>
      <c r="L194" s="300"/>
      <c r="M194" s="313">
        <v>0</v>
      </c>
      <c r="N194" s="300"/>
      <c r="O194" s="313">
        <v>0</v>
      </c>
      <c r="P194" s="300"/>
      <c r="Q194" s="313">
        <v>0</v>
      </c>
      <c r="R194" s="300"/>
      <c r="S194" s="313">
        <v>0</v>
      </c>
      <c r="T194" s="300"/>
      <c r="U194" s="313">
        <v>0</v>
      </c>
      <c r="V194" s="300"/>
      <c r="W194" s="313">
        <v>0</v>
      </c>
      <c r="X194" s="300"/>
      <c r="Y194" s="313">
        <v>0</v>
      </c>
      <c r="Z194" s="300"/>
      <c r="AA194" s="313">
        <v>0</v>
      </c>
      <c r="AB194" s="300"/>
      <c r="AC194" s="313">
        <v>0</v>
      </c>
      <c r="AD194" s="300"/>
      <c r="AE194" s="313">
        <v>0</v>
      </c>
      <c r="AF194" s="300"/>
      <c r="AG194" s="313">
        <v>0</v>
      </c>
      <c r="AH194" s="300"/>
      <c r="AI194" s="313">
        <v>0</v>
      </c>
      <c r="AJ194" s="300"/>
      <c r="AK194" s="313">
        <v>0</v>
      </c>
      <c r="AL194" s="300"/>
      <c r="AM194" s="313">
        <v>0</v>
      </c>
      <c r="AN194" s="300"/>
      <c r="AO194" s="311">
        <f>E194+K194+G194+I194+M194+O194+Q194+S194+U194+W194+Y194+AA194+AC194+AE194+AG194+AI194+AK194+AM194</f>
        <v>0</v>
      </c>
      <c r="AP194" s="297"/>
      <c r="AQ194" s="262"/>
    </row>
    <row r="195" spans="1:43" s="312" customFormat="1" ht="19.5" thickBot="1" x14ac:dyDescent="0.35">
      <c r="A195" s="297"/>
      <c r="B195" s="281"/>
      <c r="C195" s="323"/>
      <c r="D195" s="345"/>
      <c r="E195" s="302"/>
      <c r="F195" s="319"/>
      <c r="G195" s="302"/>
      <c r="H195" s="319"/>
      <c r="I195" s="302"/>
      <c r="J195" s="319"/>
      <c r="K195" s="302"/>
      <c r="L195" s="319"/>
      <c r="M195" s="302"/>
      <c r="N195" s="319"/>
      <c r="O195" s="302"/>
      <c r="P195" s="319"/>
      <c r="Q195" s="302"/>
      <c r="R195" s="319"/>
      <c r="S195" s="302"/>
      <c r="T195" s="319"/>
      <c r="U195" s="302"/>
      <c r="V195" s="319"/>
      <c r="W195" s="302"/>
      <c r="X195" s="319"/>
      <c r="Y195" s="302"/>
      <c r="Z195" s="319"/>
      <c r="AA195" s="302"/>
      <c r="AB195" s="319"/>
      <c r="AC195" s="302"/>
      <c r="AD195" s="319"/>
      <c r="AE195" s="302"/>
      <c r="AF195" s="319"/>
      <c r="AG195" s="302"/>
      <c r="AH195" s="319"/>
      <c r="AI195" s="302"/>
      <c r="AJ195" s="319"/>
      <c r="AK195" s="302"/>
      <c r="AL195" s="319"/>
      <c r="AM195" s="302"/>
      <c r="AN195" s="319"/>
      <c r="AO195" s="311"/>
      <c r="AP195" s="297"/>
      <c r="AQ195" s="262"/>
    </row>
    <row r="196" spans="1:43" s="312" customFormat="1" ht="75.75" thickBot="1" x14ac:dyDescent="0.35">
      <c r="A196" s="297"/>
      <c r="B196" s="314" t="s">
        <v>506</v>
      </c>
      <c r="C196" s="315"/>
      <c r="D196" s="316"/>
      <c r="E196" s="317">
        <f>E29-E192-E194</f>
        <v>0</v>
      </c>
      <c r="F196" s="318"/>
      <c r="G196" s="317">
        <f>G29-G192-G194</f>
        <v>0</v>
      </c>
      <c r="H196" s="318"/>
      <c r="I196" s="317">
        <f>I29-I192-I194</f>
        <v>0</v>
      </c>
      <c r="J196" s="318"/>
      <c r="K196" s="317">
        <f>K29-K192-K194</f>
        <v>0</v>
      </c>
      <c r="L196" s="318"/>
      <c r="M196" s="317">
        <f>M29-M192-M194</f>
        <v>0</v>
      </c>
      <c r="N196" s="318"/>
      <c r="O196" s="317">
        <f>O29-O192-O194</f>
        <v>0</v>
      </c>
      <c r="P196" s="318"/>
      <c r="Q196" s="317">
        <f>Q29-Q192-Q194</f>
        <v>0</v>
      </c>
      <c r="R196" s="318"/>
      <c r="S196" s="317">
        <f>S29-S192-S194</f>
        <v>0</v>
      </c>
      <c r="T196" s="318"/>
      <c r="U196" s="317">
        <f>U29-U192-U194</f>
        <v>0</v>
      </c>
      <c r="V196" s="318"/>
      <c r="W196" s="317">
        <f>W29-W192-W194</f>
        <v>0</v>
      </c>
      <c r="X196" s="318"/>
      <c r="Y196" s="317">
        <f>Y29-Y192-Y194</f>
        <v>0</v>
      </c>
      <c r="Z196" s="318"/>
      <c r="AA196" s="317">
        <f>AA29-AA192-AA194</f>
        <v>0</v>
      </c>
      <c r="AB196" s="318"/>
      <c r="AC196" s="317">
        <f>AC29-AC192-AC194</f>
        <v>0</v>
      </c>
      <c r="AD196" s="318"/>
      <c r="AE196" s="317">
        <f>AE29-AE192-AE194</f>
        <v>0</v>
      </c>
      <c r="AF196" s="318"/>
      <c r="AG196" s="317">
        <f>AG29-AG192-AG194</f>
        <v>0</v>
      </c>
      <c r="AH196" s="318"/>
      <c r="AI196" s="317">
        <f>AI29-AI192-AI194</f>
        <v>0</v>
      </c>
      <c r="AJ196" s="318"/>
      <c r="AK196" s="317">
        <f>AK29-AK192-AK194</f>
        <v>0</v>
      </c>
      <c r="AL196" s="318"/>
      <c r="AM196" s="317">
        <f>AM29-AM192-AM194</f>
        <v>0</v>
      </c>
      <c r="AN196" s="318"/>
      <c r="AO196" s="317">
        <f>AO29-AO192-AO194</f>
        <v>0</v>
      </c>
      <c r="AP196" s="297"/>
      <c r="AQ196" s="262"/>
    </row>
    <row r="197" spans="1:43" ht="26.25" x14ac:dyDescent="0.25">
      <c r="A197" s="351"/>
      <c r="B197" s="352" t="s">
        <v>507</v>
      </c>
      <c r="C197" s="353"/>
      <c r="D197" s="354"/>
      <c r="E197" s="355" t="str">
        <f>IF(E7&gt;E190,"Yes","No")</f>
        <v>No</v>
      </c>
      <c r="F197" s="356"/>
      <c r="G197" s="355" t="str">
        <f>IF(G7&gt;G190,"Yes","No")</f>
        <v>No</v>
      </c>
      <c r="H197" s="356"/>
      <c r="I197" s="355" t="str">
        <f>IF(I7&gt;I190,"Yes","No")</f>
        <v>No</v>
      </c>
      <c r="J197" s="356"/>
      <c r="K197" s="355" t="str">
        <f>IF(K7&gt;K190,"Yes","No")</f>
        <v>No</v>
      </c>
      <c r="L197" s="356"/>
      <c r="M197" s="355" t="str">
        <f>IF(M7&gt;M190,"Yes","No")</f>
        <v>No</v>
      </c>
      <c r="N197" s="356"/>
      <c r="O197" s="355" t="str">
        <f>IF(O7&gt;O190,"Yes","No")</f>
        <v>No</v>
      </c>
      <c r="P197" s="356"/>
      <c r="Q197" s="355" t="str">
        <f>IF(Q7&gt;Q190,"Yes","No")</f>
        <v>No</v>
      </c>
      <c r="R197" s="356"/>
      <c r="S197" s="356"/>
      <c r="T197" s="356"/>
      <c r="U197" s="356"/>
      <c r="V197" s="356"/>
      <c r="W197" s="355" t="str">
        <f>IF(W7&gt;W190,"Yes","No")</f>
        <v>No</v>
      </c>
      <c r="X197" s="356"/>
      <c r="Y197" s="355" t="str">
        <f>IF(Y7&gt;Y190,"Yes","No")</f>
        <v>No</v>
      </c>
      <c r="Z197" s="356"/>
      <c r="AA197" s="355" t="str">
        <f>IF(AA7&gt;AA190,"Yes","No")</f>
        <v>No</v>
      </c>
      <c r="AB197" s="356"/>
      <c r="AC197" s="355" t="str">
        <f>IF(AC7&gt;AC190,"Yes","No")</f>
        <v>No</v>
      </c>
      <c r="AD197" s="356"/>
      <c r="AE197" s="355" t="str">
        <f>IF(AE7&gt;AE190,"Yes","No")</f>
        <v>Yes</v>
      </c>
      <c r="AF197" s="356"/>
      <c r="AG197" s="355" t="str">
        <f>IF(AG7&gt;AG190,"Yes","No")</f>
        <v>Yes</v>
      </c>
      <c r="AH197" s="356"/>
      <c r="AI197" s="355" t="str">
        <f>IF(AI7&gt;AI190,"Yes","No")</f>
        <v>No</v>
      </c>
      <c r="AJ197" s="357"/>
      <c r="AK197" s="358"/>
      <c r="AL197" s="357"/>
      <c r="AM197" s="358"/>
      <c r="AN197" s="357"/>
      <c r="AO197" s="358"/>
      <c r="AP197" s="354"/>
    </row>
    <row r="198" spans="1:43" ht="11.25" x14ac:dyDescent="0.2">
      <c r="A198" s="266"/>
      <c r="B198" s="266"/>
      <c r="C198" s="359" t="s">
        <v>508</v>
      </c>
      <c r="D198" s="266"/>
      <c r="E198" s="357">
        <f>E7</f>
        <v>17117155</v>
      </c>
      <c r="F198" s="357"/>
      <c r="G198" s="357">
        <f>G7</f>
        <v>289359</v>
      </c>
      <c r="H198" s="357"/>
      <c r="I198" s="357">
        <v>0</v>
      </c>
      <c r="J198" s="357"/>
      <c r="K198" s="360">
        <f>K7</f>
        <v>0</v>
      </c>
      <c r="L198" s="357"/>
      <c r="M198" s="357">
        <f>M7</f>
        <v>330576</v>
      </c>
      <c r="N198" s="357"/>
      <c r="O198" s="361">
        <v>0</v>
      </c>
      <c r="P198" s="357"/>
      <c r="Q198" s="357">
        <f>Q7</f>
        <v>134151</v>
      </c>
      <c r="R198" s="357"/>
      <c r="S198" s="357"/>
      <c r="T198" s="357"/>
      <c r="U198" s="357"/>
      <c r="V198" s="357"/>
      <c r="W198" s="357">
        <f>W7</f>
        <v>1813330</v>
      </c>
      <c r="X198" s="357"/>
      <c r="Y198" s="357">
        <f>Y7</f>
        <v>514114</v>
      </c>
      <c r="Z198" s="357"/>
      <c r="AA198" s="357">
        <f>AA7</f>
        <v>10708432</v>
      </c>
      <c r="AB198" s="357"/>
      <c r="AC198" s="357">
        <f>AC7</f>
        <v>0</v>
      </c>
      <c r="AD198" s="357"/>
      <c r="AE198" s="357">
        <f>AE7</f>
        <v>20137886</v>
      </c>
      <c r="AF198" s="357"/>
      <c r="AG198" s="357">
        <f>AG7</f>
        <v>1101495</v>
      </c>
      <c r="AH198" s="357"/>
      <c r="AI198" s="357">
        <f>AI7</f>
        <v>525319</v>
      </c>
      <c r="AJ198" s="357"/>
      <c r="AK198" s="357"/>
      <c r="AL198" s="357"/>
      <c r="AM198" s="357">
        <v>0</v>
      </c>
      <c r="AN198" s="357"/>
      <c r="AO198" s="357">
        <f>SUM(E198:AI198)</f>
        <v>52671817</v>
      </c>
      <c r="AP198" s="266"/>
    </row>
    <row r="199" spans="1:43" ht="11.25" x14ac:dyDescent="0.2">
      <c r="A199" s="266"/>
      <c r="B199" s="266"/>
      <c r="C199" s="266"/>
      <c r="D199" s="266"/>
      <c r="E199" s="360">
        <f>E190-E198</f>
        <v>0</v>
      </c>
      <c r="F199" s="357"/>
      <c r="G199" s="360">
        <f>G190-G198</f>
        <v>0</v>
      </c>
      <c r="H199" s="357"/>
      <c r="I199" s="360">
        <f>I190-I198</f>
        <v>0</v>
      </c>
      <c r="J199" s="357"/>
      <c r="K199" s="360">
        <f>K190-K198</f>
        <v>0</v>
      </c>
      <c r="L199" s="357"/>
      <c r="M199" s="360">
        <f>M190-M198</f>
        <v>0</v>
      </c>
      <c r="N199" s="357"/>
      <c r="O199" s="360">
        <f>O190-O198</f>
        <v>0</v>
      </c>
      <c r="P199" s="357"/>
      <c r="Q199" s="360">
        <f>Q190-Q198</f>
        <v>0</v>
      </c>
      <c r="R199" s="357"/>
      <c r="S199" s="360">
        <f>S189-S198</f>
        <v>0</v>
      </c>
      <c r="T199" s="357"/>
      <c r="U199" s="360">
        <f>U189-U198</f>
        <v>0</v>
      </c>
      <c r="V199" s="357"/>
      <c r="W199" s="360">
        <f>W190-W198</f>
        <v>0</v>
      </c>
      <c r="X199" s="357"/>
      <c r="Y199" s="360">
        <f>Y190-Y198</f>
        <v>0</v>
      </c>
      <c r="Z199" s="357"/>
      <c r="AA199" s="360">
        <f>AA190-AA198</f>
        <v>0</v>
      </c>
      <c r="AB199" s="357"/>
      <c r="AC199" s="360">
        <f>AC190-AC198</f>
        <v>0</v>
      </c>
      <c r="AD199" s="357"/>
      <c r="AE199" s="360">
        <f>AE190-AE198</f>
        <v>-1869137</v>
      </c>
      <c r="AF199" s="357"/>
      <c r="AG199" s="360">
        <f>AG190-AG198</f>
        <v>-701459</v>
      </c>
      <c r="AH199" s="357"/>
      <c r="AI199" s="360">
        <f>AI190-AI198</f>
        <v>0</v>
      </c>
      <c r="AJ199" s="357"/>
      <c r="AK199" s="360">
        <f>AK196-AK198</f>
        <v>0</v>
      </c>
      <c r="AL199" s="357"/>
      <c r="AM199" s="360">
        <f>AM189-AM198</f>
        <v>0</v>
      </c>
      <c r="AN199" s="357"/>
      <c r="AO199" s="360">
        <f>AO190-AO198</f>
        <v>-2570596</v>
      </c>
      <c r="AP199" s="266"/>
    </row>
    <row r="200" spans="1:43" ht="11.25" x14ac:dyDescent="0.2">
      <c r="A200" s="266"/>
      <c r="B200" s="266"/>
      <c r="C200" s="266"/>
      <c r="D200" s="266"/>
      <c r="E200" s="357">
        <f>E190-E7</f>
        <v>0</v>
      </c>
      <c r="F200" s="357"/>
      <c r="G200" s="357">
        <f>G190-G7</f>
        <v>0</v>
      </c>
      <c r="H200" s="357"/>
      <c r="I200" s="357">
        <f>I190-I7</f>
        <v>0</v>
      </c>
      <c r="J200" s="357"/>
      <c r="K200" s="357">
        <f>K190-K7</f>
        <v>0</v>
      </c>
      <c r="L200" s="357"/>
      <c r="M200" s="357">
        <f>M190-M7</f>
        <v>0</v>
      </c>
      <c r="N200" s="357"/>
      <c r="O200" s="357">
        <f>O190-O7</f>
        <v>0</v>
      </c>
      <c r="P200" s="357"/>
      <c r="Q200" s="357">
        <f>Q190-Q7</f>
        <v>0</v>
      </c>
      <c r="R200" s="357"/>
      <c r="S200" s="357"/>
      <c r="T200" s="357"/>
      <c r="U200" s="357"/>
      <c r="V200" s="357"/>
      <c r="W200" s="357">
        <f>W190-W7</f>
        <v>0</v>
      </c>
      <c r="X200" s="357"/>
      <c r="Y200" s="357">
        <f>Y190-Y7</f>
        <v>0</v>
      </c>
      <c r="Z200" s="357"/>
      <c r="AA200" s="357">
        <f>AA190-AA7</f>
        <v>0</v>
      </c>
      <c r="AB200" s="357"/>
      <c r="AC200" s="357">
        <f>AC190-AC7</f>
        <v>0</v>
      </c>
      <c r="AD200" s="357"/>
      <c r="AE200" s="357">
        <f>AE190-AE7</f>
        <v>-1869137</v>
      </c>
      <c r="AF200" s="357"/>
      <c r="AG200" s="357">
        <f>AG190-AG7</f>
        <v>-701459</v>
      </c>
      <c r="AH200" s="357"/>
      <c r="AI200" s="357">
        <f>AI190-AI7</f>
        <v>0</v>
      </c>
      <c r="AJ200" s="357"/>
      <c r="AK200" s="357"/>
      <c r="AL200" s="357"/>
      <c r="AM200" s="357"/>
      <c r="AN200" s="357"/>
      <c r="AO200" s="357">
        <f>SUM(E200:AI200)</f>
        <v>-2570596</v>
      </c>
      <c r="AP200" s="266"/>
    </row>
  </sheetData>
  <conditionalFormatting sqref="E197">
    <cfRule type="cellIs" dxfId="2" priority="3" operator="equal">
      <formula>"Yes"</formula>
    </cfRule>
  </conditionalFormatting>
  <conditionalFormatting sqref="AI197 AG197 AE197 AC197 AA197 Y197 W197 Q197 O197 M197 I197 G197">
    <cfRule type="cellIs" dxfId="1" priority="2" operator="equal">
      <formula>"Yes"</formula>
    </cfRule>
  </conditionalFormatting>
  <conditionalFormatting sqref="K197">
    <cfRule type="cellIs" dxfId="0" priority="1" operator="equal">
      <formula>"Yes"</formula>
    </cfRule>
  </conditionalFormatting>
  <pageMargins left="0.25" right="0.25" top="0.75" bottom="0.75" header="0.3" footer="0.3"/>
  <pageSetup scale="38" fitToWidth="4" fitToHeight="4" orientation="landscape" r:id="rId1"/>
  <headerFooter>
    <oddFooter>&amp;C&amp;P</oddFooter>
  </headerFooter>
  <rowBreaks count="2" manualBreakCount="2">
    <brk id="49" max="42" man="1"/>
    <brk id="157" max="4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0"/>
  <sheetViews>
    <sheetView zoomScale="90" zoomScaleNormal="90" workbookViewId="0">
      <selection activeCell="C3" sqref="C3"/>
    </sheetView>
  </sheetViews>
  <sheetFormatPr defaultRowHeight="15" outlineLevelRow="1" x14ac:dyDescent="0.25"/>
  <cols>
    <col min="1" max="1" width="1.42578125" customWidth="1"/>
    <col min="10" max="11" width="13.140625" customWidth="1"/>
    <col min="13" max="13" width="1.42578125" customWidth="1"/>
  </cols>
  <sheetData>
    <row r="1" spans="1:13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4" t="str">
        <f>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4" t="s">
        <v>7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4" t="str">
        <f>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4.5" customHeight="1" thickBot="1" x14ac:dyDescent="0.3">
      <c r="B5" s="7"/>
    </row>
    <row r="6" spans="1:13" ht="15.75" thickBot="1" x14ac:dyDescent="0.3">
      <c r="J6" s="257" t="s">
        <v>274</v>
      </c>
      <c r="K6" s="257" t="s">
        <v>441</v>
      </c>
      <c r="L6" s="258"/>
    </row>
    <row r="7" spans="1:13" ht="15.75" thickBot="1" x14ac:dyDescent="0.3">
      <c r="B7" s="254" t="s">
        <v>8</v>
      </c>
      <c r="C7" s="255"/>
      <c r="D7" s="255"/>
      <c r="E7" s="255"/>
      <c r="F7" s="255"/>
      <c r="G7" s="255"/>
      <c r="H7" s="255"/>
      <c r="I7" s="255"/>
      <c r="J7" s="255"/>
      <c r="K7" s="255"/>
      <c r="L7" s="256"/>
    </row>
    <row r="8" spans="1:13" x14ac:dyDescent="0.25">
      <c r="B8" s="12"/>
      <c r="C8" t="s">
        <v>9</v>
      </c>
      <c r="J8" s="213">
        <v>2010</v>
      </c>
      <c r="K8" s="213">
        <v>2009.5</v>
      </c>
      <c r="L8" s="13"/>
    </row>
    <row r="9" spans="1:13" x14ac:dyDescent="0.25">
      <c r="B9" s="12"/>
      <c r="C9" t="s">
        <v>372</v>
      </c>
      <c r="J9" s="35"/>
      <c r="K9" s="35"/>
      <c r="L9" s="13"/>
    </row>
    <row r="10" spans="1:13" x14ac:dyDescent="0.25">
      <c r="B10" s="12"/>
      <c r="C10" t="s">
        <v>10</v>
      </c>
      <c r="J10" s="33"/>
      <c r="K10" s="33"/>
      <c r="L10" s="13"/>
    </row>
    <row r="11" spans="1:13" x14ac:dyDescent="0.25">
      <c r="B11" s="12"/>
      <c r="C11" t="s">
        <v>11</v>
      </c>
      <c r="J11" s="33"/>
      <c r="K11" s="33"/>
      <c r="L11" s="13"/>
    </row>
    <row r="12" spans="1:13" x14ac:dyDescent="0.25">
      <c r="B12" s="12"/>
      <c r="C12" t="s">
        <v>12</v>
      </c>
      <c r="J12" s="36"/>
      <c r="K12" s="36"/>
      <c r="L12" s="13"/>
    </row>
    <row r="13" spans="1:13" x14ac:dyDescent="0.25">
      <c r="B13" s="12"/>
      <c r="C13" t="s">
        <v>13</v>
      </c>
      <c r="J13" s="33"/>
      <c r="K13" s="33"/>
      <c r="L13" s="13"/>
    </row>
    <row r="14" spans="1:13" x14ac:dyDescent="0.25">
      <c r="B14" s="12"/>
      <c r="C14" t="s">
        <v>219</v>
      </c>
      <c r="L14" s="13"/>
    </row>
    <row r="15" spans="1:13" x14ac:dyDescent="0.25">
      <c r="B15" s="12"/>
      <c r="D15" t="s">
        <v>14</v>
      </c>
      <c r="J15" s="34"/>
      <c r="K15" s="34"/>
      <c r="L15" s="13"/>
    </row>
    <row r="16" spans="1:13" x14ac:dyDescent="0.25">
      <c r="B16" s="12"/>
      <c r="D16" t="s">
        <v>15</v>
      </c>
      <c r="J16" s="34"/>
      <c r="K16" s="34"/>
      <c r="L16" s="13"/>
    </row>
    <row r="17" spans="2:17" x14ac:dyDescent="0.25">
      <c r="B17" s="12"/>
      <c r="D17" t="s">
        <v>16</v>
      </c>
      <c r="J17" s="34"/>
      <c r="K17" s="34"/>
      <c r="L17" s="13"/>
    </row>
    <row r="18" spans="2:17" ht="15.75" thickBot="1" x14ac:dyDescent="0.3">
      <c r="B18" s="12"/>
      <c r="D18" t="s">
        <v>17</v>
      </c>
      <c r="J18" s="34"/>
      <c r="K18" s="34"/>
      <c r="L18" s="13"/>
    </row>
    <row r="19" spans="2:17" ht="15.75" thickBot="1" x14ac:dyDescent="0.3">
      <c r="B19" s="6"/>
      <c r="C19" s="14"/>
      <c r="D19" s="14"/>
      <c r="E19" s="14" t="s">
        <v>18</v>
      </c>
      <c r="F19" s="14"/>
      <c r="G19" s="14"/>
      <c r="H19" s="14"/>
      <c r="I19" s="14"/>
      <c r="J19" s="48">
        <f>SUM(J15:J18)</f>
        <v>0</v>
      </c>
      <c r="K19" s="48">
        <f>SUM(K15:K18)</f>
        <v>0</v>
      </c>
      <c r="L19" s="15"/>
    </row>
    <row r="21" spans="2:17" ht="15.75" hidden="1" thickBot="1" x14ac:dyDescent="0.3">
      <c r="B21" s="25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7"/>
    </row>
    <row r="22" spans="2:17" hidden="1" x14ac:dyDescent="0.25">
      <c r="B22" s="12"/>
      <c r="C22" t="s">
        <v>20</v>
      </c>
      <c r="K22" s="33"/>
      <c r="L22" s="13"/>
    </row>
    <row r="23" spans="2:17" hidden="1" x14ac:dyDescent="0.25">
      <c r="B23" s="12"/>
      <c r="C23" t="s">
        <v>21</v>
      </c>
      <c r="J23" s="32">
        <v>0.214</v>
      </c>
      <c r="K23" s="32">
        <v>0.214</v>
      </c>
      <c r="L23" s="13"/>
      <c r="Q23" t="s">
        <v>413</v>
      </c>
    </row>
    <row r="24" spans="2:17" hidden="1" x14ac:dyDescent="0.25">
      <c r="B24" s="12"/>
      <c r="C24" t="s">
        <v>22</v>
      </c>
      <c r="J24" s="32">
        <v>1.4500000000000001E-2</v>
      </c>
      <c r="K24" s="32">
        <v>1.4500000000000001E-2</v>
      </c>
      <c r="L24" s="13"/>
    </row>
    <row r="25" spans="2:17" hidden="1" x14ac:dyDescent="0.25">
      <c r="B25" s="12"/>
      <c r="C25" t="s">
        <v>373</v>
      </c>
      <c r="J25" s="31">
        <v>14.42</v>
      </c>
      <c r="K25" s="31">
        <f>+J25*1.05</f>
        <v>15.141</v>
      </c>
      <c r="L25" s="13"/>
    </row>
    <row r="26" spans="2:17" ht="15.75" hidden="1" thickBot="1" x14ac:dyDescent="0.3">
      <c r="B26" s="6"/>
      <c r="C26" s="14"/>
      <c r="D26" s="14"/>
      <c r="E26" s="14"/>
      <c r="F26" s="14"/>
      <c r="G26" s="14"/>
      <c r="H26" s="14"/>
      <c r="I26" s="14"/>
      <c r="J26" s="14"/>
      <c r="K26" s="14"/>
      <c r="L26" s="15"/>
    </row>
    <row r="27" spans="2:17" ht="15.75" hidden="1" thickBot="1" x14ac:dyDescent="0.3"/>
    <row r="28" spans="2:17" ht="15.75" hidden="1" thickBot="1" x14ac:dyDescent="0.3">
      <c r="B28" s="25" t="s">
        <v>23</v>
      </c>
      <c r="C28" s="26"/>
      <c r="D28" s="26"/>
      <c r="E28" s="26"/>
      <c r="F28" s="26"/>
      <c r="G28" s="26"/>
      <c r="H28" s="26"/>
      <c r="I28" s="26"/>
      <c r="J28" s="26"/>
      <c r="K28" s="26"/>
      <c r="L28" s="27"/>
    </row>
    <row r="29" spans="2:17" hidden="1" x14ac:dyDescent="0.25">
      <c r="B29" s="12"/>
      <c r="C29" t="s">
        <v>13</v>
      </c>
      <c r="J29" s="33">
        <f>J13</f>
        <v>0</v>
      </c>
      <c r="K29" s="33">
        <f>K13</f>
        <v>0</v>
      </c>
      <c r="L29" s="13"/>
    </row>
    <row r="30" spans="2:17" hidden="1" x14ac:dyDescent="0.25">
      <c r="B30" s="12"/>
      <c r="C30" t="s">
        <v>24</v>
      </c>
      <c r="J30" s="33">
        <f>J29*0.2</f>
        <v>0</v>
      </c>
      <c r="K30" s="33">
        <f>K29*0.2</f>
        <v>0</v>
      </c>
      <c r="L30" s="13"/>
    </row>
    <row r="31" spans="2:17" hidden="1" x14ac:dyDescent="0.25">
      <c r="B31" s="12"/>
      <c r="C31" t="s">
        <v>163</v>
      </c>
      <c r="J31" s="38"/>
      <c r="K31" s="38"/>
      <c r="L31" s="13"/>
    </row>
    <row r="32" spans="2:17" ht="15.75" hidden="1" thickBot="1" x14ac:dyDescent="0.3">
      <c r="B32" s="12"/>
      <c r="D32" t="s">
        <v>25</v>
      </c>
      <c r="J32" s="37">
        <f>J30+J31</f>
        <v>0</v>
      </c>
      <c r="K32" s="37">
        <f>K30+K31</f>
        <v>0</v>
      </c>
      <c r="L32" s="13"/>
    </row>
    <row r="33" spans="2:17" ht="11.25" hidden="1" customHeight="1" thickTop="1" x14ac:dyDescent="0.25">
      <c r="B33" s="12"/>
      <c r="J33" s="31"/>
      <c r="K33" s="31"/>
      <c r="L33" s="13"/>
    </row>
    <row r="34" spans="2:17" ht="15.75" hidden="1" thickBot="1" x14ac:dyDescent="0.3">
      <c r="B34" s="12"/>
      <c r="C34" t="s">
        <v>176</v>
      </c>
      <c r="J34" s="30"/>
      <c r="K34" s="30"/>
      <c r="L34" s="13"/>
    </row>
    <row r="35" spans="2:17" ht="16.5" hidden="1" thickTop="1" thickBot="1" x14ac:dyDescent="0.3">
      <c r="B35" s="6"/>
      <c r="C35" s="14"/>
      <c r="D35" s="14"/>
      <c r="E35" s="14"/>
      <c r="F35" s="14"/>
      <c r="G35" s="14"/>
      <c r="H35" s="14"/>
      <c r="I35" s="14"/>
      <c r="J35" s="14"/>
      <c r="K35" s="14"/>
      <c r="L35" s="15"/>
    </row>
    <row r="36" spans="2:17" hidden="1" x14ac:dyDescent="0.25"/>
    <row r="37" spans="2:17" ht="15.75" hidden="1" outlineLevel="1" thickBot="1" x14ac:dyDescent="0.3">
      <c r="B37" s="25" t="s">
        <v>220</v>
      </c>
      <c r="C37" s="26"/>
      <c r="D37" s="26"/>
      <c r="E37" s="26"/>
      <c r="F37" s="26"/>
      <c r="G37" s="26"/>
      <c r="H37" s="26"/>
      <c r="I37" s="26"/>
      <c r="J37" s="26"/>
      <c r="K37" s="26"/>
      <c r="L37" s="27"/>
    </row>
    <row r="38" spans="2:17" ht="15.75" hidden="1" outlineLevel="1" thickBot="1" x14ac:dyDescent="0.3">
      <c r="B38" s="60"/>
      <c r="C38" s="2"/>
      <c r="D38" s="2"/>
      <c r="E38" s="2"/>
      <c r="F38" s="2"/>
      <c r="G38" s="2"/>
      <c r="H38" s="2"/>
      <c r="I38" s="2"/>
      <c r="J38" s="2"/>
      <c r="K38" s="2"/>
      <c r="L38" s="61"/>
    </row>
    <row r="39" spans="2:17" ht="15.75" hidden="1" outlineLevel="1" thickBot="1" x14ac:dyDescent="0.3">
      <c r="B39" s="12"/>
      <c r="C39" t="s">
        <v>376</v>
      </c>
      <c r="K39" s="62"/>
      <c r="L39" s="13"/>
    </row>
    <row r="40" spans="2:17" ht="15.75" hidden="1" outlineLevel="1" thickBot="1" x14ac:dyDescent="0.3">
      <c r="B40" s="12"/>
      <c r="C40" t="s">
        <v>164</v>
      </c>
      <c r="K40" s="62"/>
      <c r="L40" s="13"/>
    </row>
    <row r="41" spans="2:17" ht="15.75" hidden="1" outlineLevel="1" thickBot="1" x14ac:dyDescent="0.3">
      <c r="B41" s="12"/>
      <c r="C41" t="s">
        <v>165</v>
      </c>
      <c r="K41" s="63"/>
      <c r="L41" s="13"/>
    </row>
    <row r="42" spans="2:17" ht="15.75" hidden="1" outlineLevel="1" thickBot="1" x14ac:dyDescent="0.3">
      <c r="B42" s="12"/>
      <c r="C42" t="s">
        <v>166</v>
      </c>
      <c r="K42" s="63"/>
      <c r="L42" s="13"/>
    </row>
    <row r="43" spans="2:17" ht="15.75" hidden="1" outlineLevel="1" thickBot="1" x14ac:dyDescent="0.3">
      <c r="B43" s="12"/>
      <c r="C43" t="s">
        <v>167</v>
      </c>
      <c r="K43" s="63"/>
      <c r="L43" s="13"/>
    </row>
    <row r="44" spans="2:17" ht="15.75" hidden="1" outlineLevel="1" thickBot="1" x14ac:dyDescent="0.3">
      <c r="B44" s="12"/>
      <c r="C44" t="s">
        <v>168</v>
      </c>
      <c r="K44" s="63"/>
      <c r="L44" s="13"/>
    </row>
    <row r="45" spans="2:17" ht="15.75" hidden="1" outlineLevel="1" thickBot="1" x14ac:dyDescent="0.3">
      <c r="B45" s="12"/>
      <c r="C45" t="s">
        <v>169</v>
      </c>
      <c r="K45" s="63"/>
      <c r="L45" s="13"/>
    </row>
    <row r="46" spans="2:17" ht="15.75" hidden="1" outlineLevel="1" thickBot="1" x14ac:dyDescent="0.3">
      <c r="B46" s="12"/>
      <c r="C46" t="s">
        <v>170</v>
      </c>
      <c r="K46" s="63"/>
      <c r="L46" s="13"/>
    </row>
    <row r="47" spans="2:17" ht="8.25" hidden="1" customHeight="1" outlineLevel="1" thickBot="1" x14ac:dyDescent="0.3">
      <c r="B47" s="6"/>
      <c r="C47" s="14"/>
      <c r="D47" s="14"/>
      <c r="E47" s="14"/>
      <c r="F47" s="14"/>
      <c r="G47" s="14"/>
      <c r="H47" s="14"/>
      <c r="I47" s="14"/>
      <c r="J47" s="14"/>
      <c r="K47" s="14"/>
      <c r="L47" s="15"/>
    </row>
    <row r="48" spans="2:17" hidden="1" collapsed="1" x14ac:dyDescent="0.25">
      <c r="Q48" t="s">
        <v>374</v>
      </c>
    </row>
    <row r="49" spans="17:17" hidden="1" x14ac:dyDescent="0.25">
      <c r="Q49" t="s">
        <v>375</v>
      </c>
    </row>
    <row r="50" spans="17:17" hidden="1" x14ac:dyDescent="0.25"/>
  </sheetData>
  <pageMargins left="0.4" right="0.4" top="0.43" bottom="0.49" header="0.3" footer="0.17"/>
  <pageSetup scale="91" orientation="portrait" r:id="rId1"/>
  <headerFooter>
    <oddFooter>&amp;L&amp;D &amp;F&amp;Cii&amp;R&amp;A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A1:P86"/>
  <sheetViews>
    <sheetView topLeftCell="A40" workbookViewId="0">
      <selection activeCell="I83" sqref="I83"/>
    </sheetView>
  </sheetViews>
  <sheetFormatPr defaultRowHeight="15" x14ac:dyDescent="0.25"/>
  <cols>
    <col min="1" max="1" width="1.42578125" customWidth="1"/>
    <col min="3" max="3" width="5.85546875" customWidth="1"/>
    <col min="9" max="9" width="12.5703125" customWidth="1"/>
    <col min="10" max="10" width="14" customWidth="1"/>
    <col min="11" max="11" width="17.140625" customWidth="1"/>
    <col min="12" max="12" width="7" customWidth="1"/>
  </cols>
  <sheetData>
    <row r="1" spans="1:16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5">
      <c r="A3" s="4" t="s">
        <v>218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x14ac:dyDescent="0.25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6" ht="4.5" customHeight="1" thickBot="1" x14ac:dyDescent="0.3">
      <c r="B5" s="7"/>
    </row>
    <row r="6" spans="1:16" ht="15.75" thickBot="1" x14ac:dyDescent="0.3">
      <c r="C6" s="25" t="s">
        <v>240</v>
      </c>
      <c r="D6" s="26"/>
      <c r="E6" s="26"/>
      <c r="F6" s="26"/>
      <c r="G6" s="26"/>
      <c r="H6" s="26"/>
      <c r="I6" s="26"/>
      <c r="J6" s="26"/>
      <c r="K6" s="27"/>
    </row>
    <row r="7" spans="1:16" ht="4.5" customHeight="1" x14ac:dyDescent="0.25"/>
    <row r="8" spans="1:16" x14ac:dyDescent="0.25">
      <c r="C8" s="40" t="s">
        <v>26</v>
      </c>
      <c r="D8" s="41"/>
      <c r="E8" s="41"/>
      <c r="F8" s="41"/>
      <c r="G8" s="41"/>
      <c r="H8" s="41"/>
      <c r="I8" s="42">
        <f>'GF Summary 10'!R12</f>
        <v>17117155</v>
      </c>
      <c r="J8" s="41"/>
      <c r="K8" s="43"/>
    </row>
    <row r="9" spans="1:16" x14ac:dyDescent="0.25">
      <c r="C9" s="44"/>
      <c r="I9" s="33"/>
      <c r="J9" s="28"/>
      <c r="K9" s="45"/>
    </row>
    <row r="10" spans="1:16" ht="14.1" customHeight="1" x14ac:dyDescent="0.25">
      <c r="C10" s="44" t="s">
        <v>213</v>
      </c>
      <c r="I10" s="39">
        <f>'GF Summary 10'!R48</f>
        <v>17117155</v>
      </c>
      <c r="J10" s="28"/>
      <c r="K10" s="45"/>
      <c r="P10" s="65" t="s">
        <v>171</v>
      </c>
    </row>
    <row r="11" spans="1:16" ht="14.1" customHeight="1" x14ac:dyDescent="0.25">
      <c r="C11" s="44"/>
      <c r="I11" s="33"/>
      <c r="J11" s="28"/>
      <c r="K11" s="49"/>
    </row>
    <row r="12" spans="1:16" ht="14.1" customHeight="1" thickBot="1" x14ac:dyDescent="0.3">
      <c r="C12" s="44"/>
      <c r="H12" s="36"/>
      <c r="I12" s="82" t="s">
        <v>177</v>
      </c>
      <c r="J12" s="28"/>
      <c r="K12" s="50">
        <f>I10-I8</f>
        <v>0</v>
      </c>
    </row>
    <row r="13" spans="1:16" ht="14.1" customHeight="1" thickTop="1" x14ac:dyDescent="0.25">
      <c r="C13" s="44"/>
      <c r="H13" s="36"/>
      <c r="I13" s="82"/>
      <c r="J13" s="28"/>
      <c r="K13" s="85"/>
    </row>
    <row r="14" spans="1:16" ht="14.1" customHeight="1" x14ac:dyDescent="0.25">
      <c r="C14" s="44"/>
      <c r="D14" t="s">
        <v>214</v>
      </c>
      <c r="H14" s="36"/>
      <c r="I14" s="82"/>
      <c r="J14" s="28"/>
      <c r="K14" s="85"/>
    </row>
    <row r="15" spans="1:16" ht="14.1" customHeight="1" x14ac:dyDescent="0.25">
      <c r="C15" s="44"/>
      <c r="E15" t="s">
        <v>215</v>
      </c>
      <c r="H15" s="36"/>
      <c r="I15" s="88"/>
      <c r="J15" s="28"/>
      <c r="K15" s="85"/>
    </row>
    <row r="16" spans="1:16" ht="14.1" customHeight="1" x14ac:dyDescent="0.25">
      <c r="C16" s="44"/>
      <c r="E16" t="s">
        <v>216</v>
      </c>
      <c r="H16" s="36"/>
      <c r="I16" s="88"/>
      <c r="J16" s="28"/>
      <c r="K16" s="85"/>
      <c r="P16" s="65" t="s">
        <v>241</v>
      </c>
    </row>
    <row r="17" spans="3:16" ht="14.1" customHeight="1" x14ac:dyDescent="0.25">
      <c r="C17" s="44"/>
      <c r="E17" t="s">
        <v>217</v>
      </c>
      <c r="H17" s="36"/>
      <c r="I17" s="89"/>
      <c r="J17" s="28"/>
      <c r="K17" s="85"/>
    </row>
    <row r="18" spans="3:16" ht="14.1" customHeight="1" thickBot="1" x14ac:dyDescent="0.3">
      <c r="C18" s="44"/>
      <c r="F18" t="s">
        <v>86</v>
      </c>
      <c r="H18" s="36"/>
      <c r="I18" s="82"/>
      <c r="J18" s="30">
        <f>SUM(I15:I17)</f>
        <v>0</v>
      </c>
      <c r="K18" s="85"/>
    </row>
    <row r="19" spans="3:16" ht="14.1" customHeight="1" thickTop="1" x14ac:dyDescent="0.25">
      <c r="C19" s="46"/>
      <c r="D19" s="9"/>
      <c r="E19" s="9"/>
      <c r="F19" s="9"/>
      <c r="G19" s="9"/>
      <c r="H19" s="9"/>
      <c r="I19" s="39"/>
      <c r="J19" s="29"/>
      <c r="K19" s="47"/>
    </row>
    <row r="20" spans="3:16" ht="14.1" customHeight="1" x14ac:dyDescent="0.25">
      <c r="C20" s="40" t="s">
        <v>27</v>
      </c>
      <c r="D20" s="41"/>
      <c r="E20" s="41"/>
      <c r="F20" s="41"/>
      <c r="G20" s="41"/>
      <c r="H20" s="41"/>
      <c r="I20" s="83">
        <f>'InsRsv 18'!R9</f>
        <v>289359</v>
      </c>
      <c r="J20" s="83"/>
      <c r="K20" s="84"/>
    </row>
    <row r="21" spans="3:16" ht="14.1" customHeight="1" x14ac:dyDescent="0.25">
      <c r="C21" s="44"/>
      <c r="I21" s="36"/>
      <c r="J21" s="36"/>
      <c r="K21" s="85"/>
      <c r="P21" s="65" t="s">
        <v>171</v>
      </c>
    </row>
    <row r="22" spans="3:16" ht="14.1" customHeight="1" x14ac:dyDescent="0.25">
      <c r="C22" s="44" t="s">
        <v>178</v>
      </c>
      <c r="I22" s="38">
        <f>'InsRsv 18'!R35</f>
        <v>289359</v>
      </c>
      <c r="J22" s="36"/>
      <c r="K22" s="85"/>
    </row>
    <row r="23" spans="3:16" ht="14.1" customHeight="1" thickBot="1" x14ac:dyDescent="0.3">
      <c r="C23" s="44"/>
      <c r="I23" s="36"/>
      <c r="J23" s="82" t="s">
        <v>177</v>
      </c>
      <c r="K23" s="50">
        <f>I22-I20</f>
        <v>0</v>
      </c>
    </row>
    <row r="24" spans="3:16" ht="14.1" customHeight="1" thickTop="1" x14ac:dyDescent="0.25">
      <c r="C24" s="44"/>
      <c r="D24" t="s">
        <v>214</v>
      </c>
      <c r="H24" s="36"/>
      <c r="I24" s="82"/>
      <c r="J24" s="82"/>
      <c r="K24" s="85"/>
    </row>
    <row r="25" spans="3:16" ht="14.1" customHeight="1" x14ac:dyDescent="0.25">
      <c r="C25" s="44"/>
      <c r="E25" t="s">
        <v>215</v>
      </c>
      <c r="H25" s="36"/>
      <c r="I25" s="88"/>
      <c r="J25" s="82"/>
      <c r="K25" s="85"/>
      <c r="P25" s="65" t="s">
        <v>242</v>
      </c>
    </row>
    <row r="26" spans="3:16" ht="14.1" customHeight="1" x14ac:dyDescent="0.25">
      <c r="C26" s="40" t="s">
        <v>179</v>
      </c>
      <c r="D26" s="41"/>
      <c r="E26" s="41"/>
      <c r="F26" s="41"/>
      <c r="G26" s="41"/>
      <c r="H26" s="41"/>
      <c r="I26" s="83">
        <f>'Preschool 19'!R11</f>
        <v>0</v>
      </c>
      <c r="J26" s="83"/>
      <c r="K26" s="84"/>
    </row>
    <row r="27" spans="3:16" ht="14.1" customHeight="1" x14ac:dyDescent="0.25">
      <c r="C27" s="44"/>
      <c r="I27" s="36"/>
      <c r="J27" s="36"/>
      <c r="K27" s="85"/>
      <c r="P27" s="65" t="s">
        <v>171</v>
      </c>
    </row>
    <row r="28" spans="3:16" ht="14.1" customHeight="1" x14ac:dyDescent="0.25">
      <c r="C28" s="44" t="s">
        <v>180</v>
      </c>
      <c r="I28" s="38">
        <f>'Preschool 19'!R47</f>
        <v>0</v>
      </c>
      <c r="J28" s="36"/>
      <c r="K28" s="85"/>
    </row>
    <row r="29" spans="3:16" ht="14.1" customHeight="1" thickBot="1" x14ac:dyDescent="0.3">
      <c r="C29" s="44"/>
      <c r="I29" s="36"/>
      <c r="J29" s="82" t="s">
        <v>177</v>
      </c>
      <c r="K29" s="50">
        <f>I28-I26</f>
        <v>0</v>
      </c>
    </row>
    <row r="30" spans="3:16" ht="14.1" customHeight="1" thickTop="1" x14ac:dyDescent="0.25">
      <c r="C30" s="44"/>
      <c r="D30" t="s">
        <v>214</v>
      </c>
      <c r="I30" s="36"/>
      <c r="J30" s="82"/>
      <c r="K30" s="85"/>
    </row>
    <row r="31" spans="3:16" ht="14.1" customHeight="1" x14ac:dyDescent="0.25">
      <c r="C31" s="44"/>
      <c r="E31" t="s">
        <v>215</v>
      </c>
      <c r="I31" s="36"/>
      <c r="J31" s="82"/>
      <c r="K31" s="85"/>
      <c r="P31" s="65" t="s">
        <v>242</v>
      </c>
    </row>
    <row r="32" spans="3:16" ht="14.1" customHeight="1" x14ac:dyDescent="0.25">
      <c r="C32" s="40" t="s">
        <v>181</v>
      </c>
      <c r="D32" s="41"/>
      <c r="E32" s="41"/>
      <c r="F32" s="41"/>
      <c r="G32" s="41"/>
      <c r="H32" s="41"/>
      <c r="I32" s="83">
        <f>'Food Svc 21'!R10</f>
        <v>330576</v>
      </c>
      <c r="J32" s="83"/>
      <c r="K32" s="84"/>
    </row>
    <row r="33" spans="3:16" ht="14.1" customHeight="1" x14ac:dyDescent="0.25">
      <c r="C33" s="44"/>
      <c r="I33" s="36"/>
      <c r="J33" s="36"/>
      <c r="K33" s="85"/>
      <c r="P33" s="65" t="s">
        <v>171</v>
      </c>
    </row>
    <row r="34" spans="3:16" ht="14.1" customHeight="1" x14ac:dyDescent="0.25">
      <c r="C34" s="44" t="s">
        <v>182</v>
      </c>
      <c r="I34" s="38">
        <f>'Food Svc 21'!R38</f>
        <v>330576</v>
      </c>
      <c r="J34" s="36"/>
      <c r="K34" s="85"/>
    </row>
    <row r="35" spans="3:16" ht="14.1" customHeight="1" thickBot="1" x14ac:dyDescent="0.3">
      <c r="C35" s="44"/>
      <c r="I35" s="36"/>
      <c r="J35" s="82" t="s">
        <v>177</v>
      </c>
      <c r="K35" s="50">
        <f>I34-I32</f>
        <v>0</v>
      </c>
    </row>
    <row r="36" spans="3:16" ht="14.1" customHeight="1" thickTop="1" x14ac:dyDescent="0.25">
      <c r="C36" s="44"/>
      <c r="D36" t="s">
        <v>214</v>
      </c>
      <c r="I36" s="36"/>
      <c r="J36" s="82"/>
      <c r="K36" s="85"/>
    </row>
    <row r="37" spans="3:16" ht="14.1" customHeight="1" x14ac:dyDescent="0.25">
      <c r="C37" s="44"/>
      <c r="E37" t="s">
        <v>215</v>
      </c>
      <c r="I37" s="36"/>
      <c r="J37" s="82"/>
      <c r="K37" s="85"/>
      <c r="P37" s="65" t="s">
        <v>242</v>
      </c>
    </row>
    <row r="38" spans="3:16" ht="14.1" customHeight="1" x14ac:dyDescent="0.25">
      <c r="C38" s="40" t="s">
        <v>183</v>
      </c>
      <c r="D38" s="41"/>
      <c r="E38" s="41"/>
      <c r="F38" s="41"/>
      <c r="G38" s="41"/>
      <c r="H38" s="41"/>
      <c r="I38" s="83">
        <f>'DPGF 22'!R9</f>
        <v>0</v>
      </c>
      <c r="J38" s="83"/>
      <c r="K38" s="84"/>
    </row>
    <row r="39" spans="3:16" ht="14.1" customHeight="1" x14ac:dyDescent="0.25">
      <c r="C39" s="44"/>
      <c r="I39" s="36"/>
      <c r="J39" s="36"/>
      <c r="K39" s="85"/>
      <c r="P39" s="65" t="s">
        <v>171</v>
      </c>
    </row>
    <row r="40" spans="3:16" ht="14.1" customHeight="1" x14ac:dyDescent="0.25">
      <c r="C40" s="44" t="s">
        <v>184</v>
      </c>
      <c r="I40" s="38">
        <f>'DPGF 22'!R50</f>
        <v>0</v>
      </c>
      <c r="J40" s="36"/>
      <c r="K40" s="85"/>
    </row>
    <row r="41" spans="3:16" ht="14.1" customHeight="1" thickBot="1" x14ac:dyDescent="0.3">
      <c r="C41" s="44"/>
      <c r="I41" s="36"/>
      <c r="J41" s="82" t="s">
        <v>177</v>
      </c>
      <c r="K41" s="50">
        <f>I40-I38</f>
        <v>0</v>
      </c>
    </row>
    <row r="42" spans="3:16" ht="14.1" customHeight="1" thickTop="1" x14ac:dyDescent="0.25">
      <c r="C42" s="44"/>
      <c r="D42" t="s">
        <v>214</v>
      </c>
      <c r="I42" s="36"/>
      <c r="J42" s="82"/>
      <c r="K42" s="85"/>
    </row>
    <row r="43" spans="3:16" ht="14.1" customHeight="1" x14ac:dyDescent="0.25">
      <c r="C43" s="44"/>
      <c r="E43" t="s">
        <v>215</v>
      </c>
      <c r="I43" s="36"/>
      <c r="J43" s="82"/>
      <c r="K43" s="85"/>
      <c r="P43" s="65" t="s">
        <v>242</v>
      </c>
    </row>
    <row r="44" spans="3:16" ht="14.1" customHeight="1" x14ac:dyDescent="0.25">
      <c r="C44" s="44"/>
      <c r="I44" s="36"/>
      <c r="J44" s="82"/>
      <c r="K44" s="85"/>
    </row>
    <row r="45" spans="3:16" ht="14.1" customHeight="1" x14ac:dyDescent="0.25">
      <c r="C45" s="40" t="s">
        <v>185</v>
      </c>
      <c r="D45" s="41"/>
      <c r="E45" s="41"/>
      <c r="F45" s="41"/>
      <c r="G45" s="41"/>
      <c r="H45" s="41"/>
      <c r="I45" s="83">
        <f>'Activity 23'!R9</f>
        <v>134151</v>
      </c>
      <c r="J45" s="83"/>
      <c r="K45" s="84"/>
    </row>
    <row r="46" spans="3:16" ht="14.1" customHeight="1" x14ac:dyDescent="0.25">
      <c r="C46" s="44"/>
      <c r="I46" s="36"/>
      <c r="J46" s="36"/>
      <c r="K46" s="85"/>
      <c r="P46" s="65" t="s">
        <v>171</v>
      </c>
    </row>
    <row r="47" spans="3:16" ht="14.1" customHeight="1" x14ac:dyDescent="0.25">
      <c r="C47" s="44" t="s">
        <v>186</v>
      </c>
      <c r="I47" s="38">
        <f>'Activity 23'!R37</f>
        <v>134151</v>
      </c>
      <c r="J47" s="36"/>
      <c r="K47" s="85"/>
    </row>
    <row r="48" spans="3:16" ht="14.1" customHeight="1" thickBot="1" x14ac:dyDescent="0.3">
      <c r="C48" s="44"/>
      <c r="I48" s="36"/>
      <c r="J48" s="82" t="s">
        <v>177</v>
      </c>
      <c r="K48" s="50">
        <f>I47-I45</f>
        <v>0</v>
      </c>
    </row>
    <row r="49" spans="3:16" ht="14.1" customHeight="1" thickTop="1" x14ac:dyDescent="0.25">
      <c r="C49" s="44"/>
      <c r="D49" t="s">
        <v>214</v>
      </c>
      <c r="I49" s="36"/>
      <c r="J49" s="82"/>
      <c r="K49" s="85"/>
    </row>
    <row r="50" spans="3:16" ht="14.1" customHeight="1" x14ac:dyDescent="0.25">
      <c r="C50" s="44"/>
      <c r="E50" t="s">
        <v>215</v>
      </c>
      <c r="I50" s="36"/>
      <c r="J50" s="82"/>
      <c r="K50" s="85"/>
      <c r="P50" s="65" t="s">
        <v>242</v>
      </c>
    </row>
    <row r="51" spans="3:16" ht="14.1" customHeight="1" x14ac:dyDescent="0.25">
      <c r="C51" s="40" t="s">
        <v>520</v>
      </c>
      <c r="D51" s="41"/>
      <c r="E51" s="41"/>
      <c r="F51" s="41"/>
      <c r="G51" s="41"/>
      <c r="H51" s="41"/>
      <c r="I51" s="83">
        <f>'Mineral Lease 26'!R9</f>
        <v>1813330</v>
      </c>
      <c r="J51" s="83"/>
      <c r="K51" s="84"/>
    </row>
    <row r="52" spans="3:16" ht="14.1" customHeight="1" x14ac:dyDescent="0.25">
      <c r="C52" s="44"/>
      <c r="I52" s="36"/>
      <c r="J52" s="36"/>
      <c r="K52" s="85"/>
      <c r="P52" s="65" t="s">
        <v>171</v>
      </c>
    </row>
    <row r="53" spans="3:16" ht="14.1" customHeight="1" x14ac:dyDescent="0.25">
      <c r="C53" s="44" t="s">
        <v>521</v>
      </c>
      <c r="I53" s="38">
        <f>'Mineral Lease 26'!R36</f>
        <v>1813330</v>
      </c>
      <c r="J53" s="36"/>
      <c r="K53" s="85"/>
    </row>
    <row r="54" spans="3:16" ht="14.1" customHeight="1" thickBot="1" x14ac:dyDescent="0.3">
      <c r="C54" s="44"/>
      <c r="I54" s="36"/>
      <c r="J54" s="82" t="s">
        <v>177</v>
      </c>
      <c r="K54" s="50">
        <f>I53-I51</f>
        <v>0</v>
      </c>
    </row>
    <row r="55" spans="3:16" ht="14.1" customHeight="1" thickTop="1" x14ac:dyDescent="0.25">
      <c r="C55" s="44"/>
      <c r="D55" t="s">
        <v>214</v>
      </c>
      <c r="I55" s="36"/>
      <c r="J55" s="82"/>
      <c r="K55" s="85"/>
    </row>
    <row r="56" spans="3:16" ht="14.1" customHeight="1" x14ac:dyDescent="0.25">
      <c r="C56" s="44"/>
      <c r="E56" t="s">
        <v>215</v>
      </c>
      <c r="I56" s="36"/>
      <c r="J56" s="82"/>
      <c r="K56" s="85"/>
      <c r="P56" s="65" t="s">
        <v>242</v>
      </c>
    </row>
    <row r="57" spans="3:16" ht="14.1" customHeight="1" x14ac:dyDescent="0.25">
      <c r="C57" s="40" t="s">
        <v>522</v>
      </c>
      <c r="D57" s="41"/>
      <c r="E57" s="41"/>
      <c r="F57" s="41"/>
      <c r="G57" s="41"/>
      <c r="H57" s="41"/>
      <c r="I57" s="83">
        <f>'Athletic Activity 29'!R9</f>
        <v>514114</v>
      </c>
      <c r="J57" s="83"/>
      <c r="K57" s="84"/>
    </row>
    <row r="58" spans="3:16" ht="14.1" customHeight="1" x14ac:dyDescent="0.25">
      <c r="C58" s="44"/>
      <c r="I58" s="36"/>
      <c r="J58" s="36"/>
      <c r="K58" s="85"/>
      <c r="P58" s="65" t="s">
        <v>171</v>
      </c>
    </row>
    <row r="59" spans="3:16" ht="14.1" customHeight="1" x14ac:dyDescent="0.25">
      <c r="C59" s="44" t="s">
        <v>523</v>
      </c>
      <c r="I59" s="38">
        <f>'Athletic Activity 29'!R36</f>
        <v>514114</v>
      </c>
      <c r="J59" s="36"/>
      <c r="K59" s="85"/>
    </row>
    <row r="60" spans="3:16" ht="14.1" customHeight="1" thickBot="1" x14ac:dyDescent="0.3">
      <c r="C60" s="44"/>
      <c r="I60" s="36"/>
      <c r="J60" s="82" t="s">
        <v>177</v>
      </c>
      <c r="K60" s="50">
        <f>I59-I57</f>
        <v>0</v>
      </c>
    </row>
    <row r="61" spans="3:16" ht="14.1" customHeight="1" thickTop="1" x14ac:dyDescent="0.25">
      <c r="C61" s="44"/>
      <c r="D61" t="s">
        <v>214</v>
      </c>
      <c r="I61" s="36"/>
      <c r="J61" s="82"/>
      <c r="K61" s="85"/>
    </row>
    <row r="62" spans="3:16" ht="14.1" customHeight="1" x14ac:dyDescent="0.25">
      <c r="C62" s="44"/>
      <c r="E62" t="s">
        <v>215</v>
      </c>
      <c r="I62" s="36"/>
      <c r="J62" s="82"/>
      <c r="K62" s="85"/>
      <c r="P62" s="65" t="s">
        <v>242</v>
      </c>
    </row>
    <row r="63" spans="3:16" ht="14.1" customHeight="1" x14ac:dyDescent="0.25">
      <c r="C63" s="40" t="s">
        <v>187</v>
      </c>
      <c r="D63" s="41"/>
      <c r="E63" s="41"/>
      <c r="F63" s="41"/>
      <c r="G63" s="41"/>
      <c r="H63" s="41"/>
      <c r="I63" s="83">
        <f>'BondRedempt 31'!R9</f>
        <v>10708432</v>
      </c>
      <c r="J63" s="83"/>
      <c r="K63" s="84"/>
    </row>
    <row r="64" spans="3:16" ht="14.1" customHeight="1" x14ac:dyDescent="0.25">
      <c r="C64" s="44"/>
      <c r="I64" s="36"/>
      <c r="J64" s="36"/>
      <c r="K64" s="85"/>
      <c r="P64" s="65" t="s">
        <v>171</v>
      </c>
    </row>
    <row r="65" spans="3:16" ht="14.1" customHeight="1" x14ac:dyDescent="0.25">
      <c r="C65" s="44" t="s">
        <v>188</v>
      </c>
      <c r="I65" s="38">
        <f>'BondRedempt 31'!R38</f>
        <v>10708432</v>
      </c>
      <c r="J65" s="36"/>
      <c r="K65" s="85"/>
    </row>
    <row r="66" spans="3:16" ht="14.1" customHeight="1" thickBot="1" x14ac:dyDescent="0.3">
      <c r="C66" s="44"/>
      <c r="I66" s="36"/>
      <c r="J66" s="82" t="s">
        <v>177</v>
      </c>
      <c r="K66" s="50">
        <f>I65-I63</f>
        <v>0</v>
      </c>
    </row>
    <row r="67" spans="3:16" ht="14.1" customHeight="1" thickTop="1" x14ac:dyDescent="0.25">
      <c r="C67" s="44"/>
      <c r="D67" t="s">
        <v>214</v>
      </c>
      <c r="I67" s="36"/>
      <c r="J67" s="82"/>
      <c r="K67" s="85"/>
    </row>
    <row r="68" spans="3:16" ht="14.1" customHeight="1" x14ac:dyDescent="0.25">
      <c r="C68" s="44"/>
      <c r="E68" t="s">
        <v>215</v>
      </c>
      <c r="I68" s="36"/>
      <c r="J68" s="82"/>
      <c r="K68" s="85"/>
      <c r="P68" s="65" t="s">
        <v>242</v>
      </c>
    </row>
    <row r="69" spans="3:16" ht="14.1" customHeight="1" x14ac:dyDescent="0.25">
      <c r="C69" s="40" t="s">
        <v>189</v>
      </c>
      <c r="D69" s="41"/>
      <c r="E69" s="41"/>
      <c r="F69" s="41"/>
      <c r="G69" s="41"/>
      <c r="H69" s="41"/>
      <c r="I69" s="83">
        <f>'CapRes 43'!R9</f>
        <v>20137886</v>
      </c>
      <c r="J69" s="83"/>
      <c r="K69" s="84"/>
    </row>
    <row r="70" spans="3:16" ht="14.1" customHeight="1" x14ac:dyDescent="0.25">
      <c r="C70" s="44"/>
      <c r="I70" s="36"/>
      <c r="J70" s="36"/>
      <c r="K70" s="85"/>
      <c r="P70" s="65" t="s">
        <v>171</v>
      </c>
    </row>
    <row r="71" spans="3:16" ht="14.1" customHeight="1" x14ac:dyDescent="0.25">
      <c r="C71" s="44" t="s">
        <v>190</v>
      </c>
      <c r="I71" s="38">
        <f>+'CapRes 43'!R35</f>
        <v>18268749</v>
      </c>
      <c r="J71" s="36"/>
      <c r="K71" s="85"/>
    </row>
    <row r="72" spans="3:16" ht="14.1" customHeight="1" thickBot="1" x14ac:dyDescent="0.3">
      <c r="C72" s="44"/>
      <c r="I72" s="36"/>
      <c r="J72" s="82" t="s">
        <v>177</v>
      </c>
      <c r="K72" s="50">
        <f>I71-I69</f>
        <v>-1869137</v>
      </c>
    </row>
    <row r="73" spans="3:16" ht="14.1" customHeight="1" thickTop="1" x14ac:dyDescent="0.25">
      <c r="C73" s="44"/>
      <c r="D73" t="s">
        <v>214</v>
      </c>
      <c r="I73" s="36"/>
      <c r="J73" s="82"/>
      <c r="K73" s="85"/>
    </row>
    <row r="74" spans="3:16" ht="14.1" customHeight="1" x14ac:dyDescent="0.25">
      <c r="C74" s="44"/>
      <c r="E74" t="s">
        <v>215</v>
      </c>
      <c r="I74" s="36"/>
      <c r="J74" s="82"/>
      <c r="K74" s="85"/>
      <c r="P74" s="65" t="s">
        <v>242</v>
      </c>
    </row>
    <row r="75" spans="3:16" ht="14.1" customHeight="1" x14ac:dyDescent="0.25">
      <c r="C75" s="40" t="s">
        <v>524</v>
      </c>
      <c r="D75" s="41"/>
      <c r="E75" s="41"/>
      <c r="F75" s="41"/>
      <c r="G75" s="41"/>
      <c r="H75" s="41"/>
      <c r="I75" s="83">
        <f>'Land Reserve 44'!R9</f>
        <v>1101495</v>
      </c>
      <c r="J75" s="83"/>
      <c r="K75" s="84"/>
    </row>
    <row r="76" spans="3:16" ht="14.1" customHeight="1" x14ac:dyDescent="0.25">
      <c r="C76" s="44"/>
      <c r="I76" s="36"/>
      <c r="J76" s="36"/>
      <c r="K76" s="85"/>
      <c r="P76" s="65" t="s">
        <v>171</v>
      </c>
    </row>
    <row r="77" spans="3:16" ht="14.1" customHeight="1" x14ac:dyDescent="0.25">
      <c r="C77" s="44" t="s">
        <v>525</v>
      </c>
      <c r="I77" s="38">
        <f>'Land Reserve 44'!R35</f>
        <v>400036</v>
      </c>
      <c r="J77" s="36"/>
      <c r="K77" s="85"/>
    </row>
    <row r="78" spans="3:16" ht="14.1" customHeight="1" thickBot="1" x14ac:dyDescent="0.3">
      <c r="C78" s="44"/>
      <c r="I78" s="36"/>
      <c r="J78" s="82" t="s">
        <v>177</v>
      </c>
      <c r="K78" s="50">
        <f>I77-I75</f>
        <v>-701459</v>
      </c>
    </row>
    <row r="79" spans="3:16" ht="14.1" customHeight="1" thickTop="1" x14ac:dyDescent="0.25">
      <c r="C79" s="44"/>
      <c r="D79" t="s">
        <v>214</v>
      </c>
      <c r="I79" s="36"/>
      <c r="J79" s="82"/>
      <c r="K79" s="85"/>
    </row>
    <row r="80" spans="3:16" ht="14.1" customHeight="1" x14ac:dyDescent="0.25">
      <c r="C80" s="44"/>
      <c r="E80" t="s">
        <v>215</v>
      </c>
      <c r="I80" s="36"/>
      <c r="J80" s="82"/>
      <c r="K80" s="85"/>
      <c r="P80" s="65" t="s">
        <v>242</v>
      </c>
    </row>
    <row r="81" spans="3:16" x14ac:dyDescent="0.25">
      <c r="C81" s="40" t="s">
        <v>191</v>
      </c>
      <c r="D81" s="41"/>
      <c r="E81" s="41"/>
      <c r="F81" s="41"/>
      <c r="G81" s="41"/>
      <c r="H81" s="41"/>
      <c r="I81" s="83">
        <f>+'Trust Funds 72'!R9</f>
        <v>525319</v>
      </c>
      <c r="J81" s="83"/>
      <c r="K81" s="84"/>
    </row>
    <row r="82" spans="3:16" ht="15.75" x14ac:dyDescent="0.25">
      <c r="C82" s="44"/>
      <c r="I82" s="36"/>
      <c r="J82" s="36"/>
      <c r="K82" s="85"/>
      <c r="P82" s="65" t="s">
        <v>171</v>
      </c>
    </row>
    <row r="83" spans="3:16" x14ac:dyDescent="0.25">
      <c r="C83" s="44" t="s">
        <v>192</v>
      </c>
      <c r="I83" s="38">
        <f>+'Trust Funds 72'!R35</f>
        <v>525319</v>
      </c>
      <c r="J83" s="36"/>
      <c r="K83" s="85"/>
    </row>
    <row r="84" spans="3:16" ht="15.75" thickBot="1" x14ac:dyDescent="0.3">
      <c r="C84" s="44"/>
      <c r="I84" s="36"/>
      <c r="J84" s="82" t="s">
        <v>177</v>
      </c>
      <c r="K84" s="50">
        <f>+I83-I81</f>
        <v>0</v>
      </c>
    </row>
    <row r="85" spans="3:16" ht="15.75" thickTop="1" x14ac:dyDescent="0.25">
      <c r="C85" s="44"/>
      <c r="D85" t="s">
        <v>214</v>
      </c>
      <c r="I85" s="36"/>
      <c r="J85" s="82"/>
      <c r="K85" s="85"/>
    </row>
    <row r="86" spans="3:16" ht="15.75" x14ac:dyDescent="0.25">
      <c r="C86" s="46"/>
      <c r="D86" s="9"/>
      <c r="E86" s="9" t="s">
        <v>215</v>
      </c>
      <c r="F86" s="9"/>
      <c r="G86" s="9"/>
      <c r="H86" s="9"/>
      <c r="I86" s="38"/>
      <c r="J86" s="116"/>
      <c r="K86" s="86"/>
      <c r="P86" s="65" t="s">
        <v>242</v>
      </c>
    </row>
  </sheetData>
  <pageMargins left="0.35" right="0.39" top="0.34" bottom="0.44" header="0.26" footer="0.17"/>
  <pageSetup scale="65" orientation="portrait" r:id="rId1"/>
  <headerFooter>
    <oddFooter>&amp;L&amp;D &amp;F&amp;Ciiib(2)
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25"/>
  <sheetViews>
    <sheetView workbookViewId="0">
      <selection activeCell="C3" sqref="C3"/>
    </sheetView>
  </sheetViews>
  <sheetFormatPr defaultRowHeight="15" x14ac:dyDescent="0.25"/>
  <cols>
    <col min="1" max="1" width="1.42578125" customWidth="1"/>
    <col min="2" max="2" width="5.42578125" customWidth="1"/>
    <col min="5" max="5" width="37.7109375" customWidth="1"/>
    <col min="6" max="6" width="12.5703125" customWidth="1"/>
    <col min="12" max="12" width="1.140625" customWidth="1"/>
    <col min="13" max="13" width="9.140625" style="5"/>
    <col min="16" max="16" width="1.42578125" customWidth="1"/>
  </cols>
  <sheetData>
    <row r="1" spans="1:12" x14ac:dyDescent="0.25">
      <c r="A1" s="3" t="str">
        <f>Cover!D9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" t="str">
        <f>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" t="s">
        <v>0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" t="s">
        <v>512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.5" customHeight="1" x14ac:dyDescent="0.25">
      <c r="B5" s="7"/>
    </row>
    <row r="6" spans="1:12" ht="21" x14ac:dyDescent="0.35"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2" ht="21" x14ac:dyDescent="0.35">
      <c r="B7" s="22"/>
      <c r="C7" s="23" t="s">
        <v>2</v>
      </c>
      <c r="D7" s="23" t="s">
        <v>3</v>
      </c>
      <c r="E7" s="23"/>
      <c r="F7" s="23"/>
      <c r="G7" s="22"/>
      <c r="H7" s="22"/>
      <c r="I7" s="22"/>
      <c r="J7" s="22"/>
      <c r="K7" s="22"/>
    </row>
    <row r="8" spans="1:12" ht="21" x14ac:dyDescent="0.35"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2" ht="21" x14ac:dyDescent="0.35">
      <c r="B9" s="22"/>
      <c r="C9" s="22"/>
      <c r="D9" s="22" t="s">
        <v>509</v>
      </c>
      <c r="E9" s="22"/>
      <c r="F9" s="22" t="s">
        <v>1</v>
      </c>
      <c r="G9" s="22"/>
      <c r="H9" s="22"/>
      <c r="I9" s="22"/>
      <c r="J9" s="24">
        <v>1</v>
      </c>
      <c r="K9" s="22"/>
    </row>
    <row r="10" spans="1:12" ht="21" x14ac:dyDescent="0.35">
      <c r="B10" s="22"/>
      <c r="C10" s="22"/>
      <c r="D10" s="22" t="s">
        <v>255</v>
      </c>
      <c r="E10" s="22"/>
      <c r="F10" s="22" t="s">
        <v>4</v>
      </c>
      <c r="G10" s="22" t="s">
        <v>4</v>
      </c>
      <c r="H10" s="22"/>
      <c r="I10" s="22"/>
      <c r="J10" s="24">
        <f>J9+1</f>
        <v>2</v>
      </c>
      <c r="K10" s="22"/>
    </row>
    <row r="11" spans="1:12" ht="21" x14ac:dyDescent="0.35">
      <c r="B11" s="22"/>
      <c r="C11" s="22"/>
      <c r="D11" s="376" t="s">
        <v>510</v>
      </c>
      <c r="E11" s="376"/>
      <c r="F11" s="376" t="s">
        <v>4</v>
      </c>
      <c r="G11" s="376" t="s">
        <v>5</v>
      </c>
      <c r="H11" s="376"/>
      <c r="I11" s="376"/>
      <c r="J11" s="377">
        <f t="shared" ref="J11:J22" si="0">J10+1</f>
        <v>3</v>
      </c>
      <c r="K11" s="22"/>
    </row>
    <row r="12" spans="1:12" ht="21" x14ac:dyDescent="0.35">
      <c r="B12" s="22"/>
      <c r="C12" s="363"/>
      <c r="D12" s="376" t="s">
        <v>431</v>
      </c>
      <c r="E12" s="376"/>
      <c r="F12" s="376" t="s">
        <v>4</v>
      </c>
      <c r="G12" s="376" t="s">
        <v>87</v>
      </c>
      <c r="H12" s="376"/>
      <c r="I12" s="376"/>
      <c r="J12" s="377">
        <f t="shared" si="0"/>
        <v>4</v>
      </c>
      <c r="K12" s="22"/>
    </row>
    <row r="13" spans="1:12" ht="21" x14ac:dyDescent="0.35">
      <c r="B13" s="22"/>
      <c r="C13" s="22"/>
      <c r="D13" s="376" t="s">
        <v>256</v>
      </c>
      <c r="E13" s="376"/>
      <c r="F13" s="376" t="s">
        <v>6</v>
      </c>
      <c r="G13" s="376"/>
      <c r="H13" s="376"/>
      <c r="I13" s="376"/>
      <c r="J13" s="377">
        <f t="shared" si="0"/>
        <v>5</v>
      </c>
      <c r="K13" s="22"/>
    </row>
    <row r="14" spans="1:12" ht="21" x14ac:dyDescent="0.35">
      <c r="B14" s="22"/>
      <c r="C14" s="22"/>
      <c r="D14" s="376" t="s">
        <v>257</v>
      </c>
      <c r="E14" s="376"/>
      <c r="F14" s="376" t="s">
        <v>6</v>
      </c>
      <c r="G14" s="376"/>
      <c r="H14" s="376"/>
      <c r="I14" s="376"/>
      <c r="J14" s="377">
        <f t="shared" si="0"/>
        <v>6</v>
      </c>
      <c r="K14" s="22"/>
    </row>
    <row r="15" spans="1:12" ht="21" x14ac:dyDescent="0.35">
      <c r="B15" s="22"/>
      <c r="C15" s="22"/>
      <c r="D15" s="376" t="s">
        <v>258</v>
      </c>
      <c r="E15" s="376"/>
      <c r="F15" s="376" t="s">
        <v>6</v>
      </c>
      <c r="G15" s="376"/>
      <c r="H15" s="376"/>
      <c r="I15" s="376"/>
      <c r="J15" s="377">
        <f t="shared" si="0"/>
        <v>7</v>
      </c>
      <c r="K15" s="22"/>
    </row>
    <row r="16" spans="1:12" ht="21" x14ac:dyDescent="0.35">
      <c r="B16" s="22"/>
      <c r="C16" s="22"/>
      <c r="D16" s="376" t="s">
        <v>419</v>
      </c>
      <c r="E16" s="376"/>
      <c r="F16" s="376" t="s">
        <v>6</v>
      </c>
      <c r="G16" s="376"/>
      <c r="H16" s="376"/>
      <c r="I16" s="376"/>
      <c r="J16" s="377">
        <f t="shared" si="0"/>
        <v>8</v>
      </c>
      <c r="K16" s="22"/>
    </row>
    <row r="17" spans="2:11" ht="21" x14ac:dyDescent="0.35">
      <c r="B17" s="22"/>
      <c r="C17" s="22"/>
      <c r="D17" s="376" t="s">
        <v>420</v>
      </c>
      <c r="E17" s="376"/>
      <c r="F17" s="376" t="s">
        <v>5</v>
      </c>
      <c r="G17" s="376" t="s">
        <v>5</v>
      </c>
      <c r="H17" s="376"/>
      <c r="I17" s="376"/>
      <c r="J17" s="377">
        <f t="shared" si="0"/>
        <v>9</v>
      </c>
      <c r="K17" s="22"/>
    </row>
    <row r="18" spans="2:11" ht="21" x14ac:dyDescent="0.35">
      <c r="B18" s="22"/>
      <c r="C18" s="22"/>
      <c r="D18" s="376" t="s">
        <v>259</v>
      </c>
      <c r="E18" s="376"/>
      <c r="F18" s="376" t="s">
        <v>6</v>
      </c>
      <c r="G18" s="376"/>
      <c r="H18" s="376"/>
      <c r="I18" s="376"/>
      <c r="J18" s="377">
        <f t="shared" si="0"/>
        <v>10</v>
      </c>
      <c r="K18" s="22"/>
    </row>
    <row r="19" spans="2:11" ht="21" x14ac:dyDescent="0.35">
      <c r="B19" s="22"/>
      <c r="C19" s="22"/>
      <c r="D19" s="376" t="s">
        <v>421</v>
      </c>
      <c r="E19" s="376"/>
      <c r="F19" s="376" t="s">
        <v>6</v>
      </c>
      <c r="G19" s="376"/>
      <c r="H19" s="376"/>
      <c r="I19" s="376"/>
      <c r="J19" s="377">
        <f t="shared" si="0"/>
        <v>11</v>
      </c>
      <c r="K19" s="22"/>
    </row>
    <row r="20" spans="2:11" ht="21" x14ac:dyDescent="0.35">
      <c r="B20" s="22"/>
      <c r="C20" s="22"/>
      <c r="D20" s="376" t="s">
        <v>260</v>
      </c>
      <c r="E20" s="376"/>
      <c r="F20" s="376" t="s">
        <v>6</v>
      </c>
      <c r="G20" s="376"/>
      <c r="H20" s="376"/>
      <c r="I20" s="376"/>
      <c r="J20" s="377">
        <f t="shared" si="0"/>
        <v>12</v>
      </c>
      <c r="K20" s="22"/>
    </row>
    <row r="21" spans="2:11" ht="21" x14ac:dyDescent="0.35">
      <c r="B21" s="22"/>
      <c r="C21" s="22"/>
      <c r="D21" s="376" t="s">
        <v>511</v>
      </c>
      <c r="E21" s="376"/>
      <c r="F21" s="376" t="s">
        <v>6</v>
      </c>
      <c r="G21" s="376"/>
      <c r="H21" s="376"/>
      <c r="I21" s="376"/>
      <c r="J21" s="377">
        <f t="shared" si="0"/>
        <v>13</v>
      </c>
      <c r="K21" s="22"/>
    </row>
    <row r="22" spans="2:11" ht="21" x14ac:dyDescent="0.35">
      <c r="B22" s="22"/>
      <c r="C22" s="22"/>
      <c r="D22" s="376" t="s">
        <v>425</v>
      </c>
      <c r="E22" s="376"/>
      <c r="F22" s="376" t="s">
        <v>6</v>
      </c>
      <c r="G22" s="376"/>
      <c r="H22" s="376"/>
      <c r="I22" s="376"/>
      <c r="J22" s="377">
        <f t="shared" si="0"/>
        <v>14</v>
      </c>
      <c r="K22" s="22"/>
    </row>
    <row r="23" spans="2:11" ht="21" x14ac:dyDescent="0.35">
      <c r="B23" s="22"/>
      <c r="C23" s="22"/>
      <c r="D23" s="378"/>
      <c r="E23" s="378"/>
      <c r="F23" s="378"/>
      <c r="G23" s="378"/>
      <c r="H23" s="378"/>
      <c r="I23" s="378"/>
      <c r="J23" s="378"/>
      <c r="K23" s="22"/>
    </row>
    <row r="24" spans="2:11" ht="21" x14ac:dyDescent="0.35">
      <c r="B24" s="22"/>
      <c r="C24" s="23" t="s">
        <v>266</v>
      </c>
      <c r="D24" s="23" t="s">
        <v>88</v>
      </c>
      <c r="E24" s="23"/>
      <c r="F24" s="22" t="s">
        <v>6</v>
      </c>
      <c r="G24" s="23"/>
      <c r="H24" s="23"/>
      <c r="I24" s="23"/>
      <c r="J24" s="24">
        <f>J22+1</f>
        <v>15</v>
      </c>
      <c r="K24" s="22"/>
    </row>
    <row r="25" spans="2:11" s="7" customFormat="1" ht="21" x14ac:dyDescent="0.35">
      <c r="B25" s="23"/>
      <c r="C25" s="23"/>
      <c r="D25" s="23"/>
      <c r="E25" s="23"/>
      <c r="F25" s="22"/>
      <c r="G25" s="23"/>
      <c r="H25" s="23"/>
      <c r="I25" s="23"/>
      <c r="J25" s="54"/>
      <c r="K25" s="23"/>
    </row>
  </sheetData>
  <pageMargins left="0.49" right="0.42" top="0.57999999999999996" bottom="0.75" header="0.3" footer="0.3"/>
  <pageSetup scale="88" orientation="portrait" r:id="rId1"/>
  <headerFooter>
    <oddFooter>&amp;L&amp;D &amp;F&amp;Ci&amp;R&amp;A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Y53"/>
  <sheetViews>
    <sheetView tabSelected="1" zoomScaleNormal="100" workbookViewId="0">
      <selection activeCell="C3" sqref="C3"/>
    </sheetView>
  </sheetViews>
  <sheetFormatPr defaultRowHeight="15" x14ac:dyDescent="0.25"/>
  <cols>
    <col min="1" max="1" width="2.42578125" customWidth="1"/>
    <col min="2" max="2" width="7.7109375" style="7" customWidth="1"/>
    <col min="3" max="3" width="4.140625" customWidth="1"/>
    <col min="4" max="4" width="23.570312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140625" customWidth="1"/>
    <col min="20" max="21" width="0" hidden="1" customWidth="1"/>
    <col min="22" max="22" width="32.85546875" hidden="1" customWidth="1"/>
    <col min="23" max="23" width="0" style="92" hidden="1" customWidth="1"/>
    <col min="24" max="24" width="20.85546875" hidden="1" customWidth="1"/>
    <col min="25" max="25" width="21.140625" hidden="1" customWidth="1"/>
    <col min="26" max="26" width="0" hidden="1" customWidth="1"/>
  </cols>
  <sheetData>
    <row r="1" spans="1:25" ht="15.75" customHeight="1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251"/>
      <c r="I1" s="252"/>
      <c r="J1" s="1"/>
      <c r="K1" s="1"/>
      <c r="L1" s="1"/>
      <c r="M1" s="1"/>
      <c r="N1" s="1"/>
      <c r="O1" s="1"/>
      <c r="P1" s="1"/>
      <c r="Q1" s="1"/>
      <c r="R1" s="1"/>
      <c r="S1" s="1"/>
      <c r="W1" s="195" t="s">
        <v>234</v>
      </c>
    </row>
    <row r="2" spans="1:25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W2" s="195"/>
    </row>
    <row r="3" spans="1:25" x14ac:dyDescent="0.25">
      <c r="A3" s="4" t="s">
        <v>432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W3" s="195"/>
    </row>
    <row r="4" spans="1:25" s="194" customFormat="1" ht="15" customHeight="1" x14ac:dyDescent="0.2">
      <c r="A4" s="4" t="str">
        <f>+Cover!E14</f>
        <v xml:space="preserve">                   FY 2026/27</v>
      </c>
      <c r="B4" s="4"/>
      <c r="C4" s="4"/>
      <c r="D4" s="25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31"/>
      <c r="R4" s="4"/>
      <c r="S4" s="4"/>
      <c r="W4" s="195"/>
    </row>
    <row r="5" spans="1:25" ht="4.5" customHeight="1" thickBot="1" x14ac:dyDescent="0.3">
      <c r="Q5" s="232"/>
      <c r="W5" s="195"/>
    </row>
    <row r="6" spans="1:25" ht="14.45" customHeight="1" x14ac:dyDescent="0.25">
      <c r="F6" s="219" t="s">
        <v>28</v>
      </c>
      <c r="G6" s="220"/>
      <c r="H6" s="220" t="s">
        <v>28</v>
      </c>
      <c r="I6" s="220"/>
      <c r="J6" s="221" t="s">
        <v>28</v>
      </c>
      <c r="K6" s="222"/>
      <c r="L6" s="219" t="s">
        <v>154</v>
      </c>
      <c r="M6" s="220"/>
      <c r="N6" s="220" t="s">
        <v>275</v>
      </c>
      <c r="O6" s="220"/>
      <c r="P6" s="221" t="s">
        <v>417</v>
      </c>
      <c r="Q6" s="230"/>
      <c r="R6" s="236" t="s">
        <v>442</v>
      </c>
      <c r="S6" s="5"/>
      <c r="W6" s="195"/>
      <c r="X6" s="20" t="s">
        <v>269</v>
      </c>
      <c r="Y6" s="148" t="s">
        <v>270</v>
      </c>
    </row>
    <row r="7" spans="1:25" ht="15.75" thickBot="1" x14ac:dyDescent="0.3">
      <c r="F7" s="223" t="s">
        <v>78</v>
      </c>
      <c r="G7" s="225"/>
      <c r="H7" s="225" t="s">
        <v>172</v>
      </c>
      <c r="I7" s="225"/>
      <c r="J7" s="226" t="s">
        <v>415</v>
      </c>
      <c r="K7" s="222"/>
      <c r="L7" s="223" t="s">
        <v>416</v>
      </c>
      <c r="M7" s="225"/>
      <c r="N7" s="225" t="s">
        <v>416</v>
      </c>
      <c r="O7" s="225"/>
      <c r="P7" s="226" t="s">
        <v>418</v>
      </c>
      <c r="Q7" s="229"/>
      <c r="R7" s="237" t="s">
        <v>515</v>
      </c>
      <c r="S7" s="5"/>
      <c r="W7" s="195"/>
      <c r="X7" s="21" t="s">
        <v>271</v>
      </c>
      <c r="Y7" s="149" t="s">
        <v>154</v>
      </c>
    </row>
    <row r="8" spans="1:25" ht="3.75" customHeight="1" x14ac:dyDescent="0.25">
      <c r="F8" s="10"/>
      <c r="G8" s="7"/>
      <c r="H8" s="8"/>
      <c r="I8" s="8"/>
      <c r="J8" s="11"/>
      <c r="K8" s="5"/>
      <c r="L8" s="150"/>
      <c r="M8" s="167"/>
      <c r="N8" s="167"/>
      <c r="O8" s="167"/>
      <c r="P8" s="168"/>
      <c r="Q8" s="233"/>
      <c r="R8" s="238"/>
      <c r="S8" s="5"/>
      <c r="W8" s="195"/>
      <c r="X8" s="150"/>
      <c r="Y8" s="158"/>
    </row>
    <row r="9" spans="1:25" x14ac:dyDescent="0.25">
      <c r="B9" s="7" t="s">
        <v>29</v>
      </c>
      <c r="F9" s="366"/>
      <c r="G9" s="169"/>
      <c r="H9" s="367"/>
      <c r="I9" s="166"/>
      <c r="J9" s="368"/>
      <c r="K9" s="17"/>
      <c r="L9" s="369"/>
      <c r="M9" s="166"/>
      <c r="N9" s="367"/>
      <c r="O9" s="166"/>
      <c r="P9" s="16"/>
      <c r="Q9" s="234"/>
      <c r="R9" s="370"/>
      <c r="S9" s="5"/>
      <c r="W9" s="195"/>
      <c r="X9" s="151"/>
      <c r="Y9" s="159"/>
    </row>
    <row r="10" spans="1:25" x14ac:dyDescent="0.25">
      <c r="C10" t="s">
        <v>54</v>
      </c>
      <c r="F10" s="122">
        <v>711000</v>
      </c>
      <c r="G10" s="19"/>
      <c r="H10" s="19">
        <v>952000</v>
      </c>
      <c r="I10" s="19"/>
      <c r="J10" s="123">
        <v>877000</v>
      </c>
      <c r="K10" s="19"/>
      <c r="L10" s="122">
        <v>952000</v>
      </c>
      <c r="M10" s="19"/>
      <c r="N10" s="19">
        <v>952000</v>
      </c>
      <c r="O10" s="19"/>
      <c r="P10" s="123">
        <f t="shared" ref="P10:P11" si="0">R10-L10</f>
        <v>0</v>
      </c>
      <c r="Q10" s="204"/>
      <c r="R10" s="239">
        <v>952000</v>
      </c>
      <c r="S10" s="5"/>
      <c r="V10" s="7" t="s">
        <v>228</v>
      </c>
      <c r="W10" s="195"/>
      <c r="X10" s="152"/>
      <c r="Y10" s="160"/>
    </row>
    <row r="11" spans="1:25" x14ac:dyDescent="0.25">
      <c r="C11" t="s">
        <v>194</v>
      </c>
      <c r="F11" s="122">
        <v>14240913</v>
      </c>
      <c r="G11" s="19"/>
      <c r="H11" s="19">
        <v>14667383</v>
      </c>
      <c r="I11" s="19"/>
      <c r="J11" s="123">
        <v>15576891</v>
      </c>
      <c r="K11" s="19"/>
      <c r="L11" s="122">
        <v>15501891</v>
      </c>
      <c r="M11" s="19"/>
      <c r="N11" s="132">
        <f>17117155-N10</f>
        <v>16165155</v>
      </c>
      <c r="O11" s="19"/>
      <c r="P11" s="123">
        <f t="shared" si="0"/>
        <v>663264</v>
      </c>
      <c r="Q11" s="204"/>
      <c r="R11" s="239">
        <f>17117155-R10</f>
        <v>16165155</v>
      </c>
      <c r="S11" s="5"/>
      <c r="V11" s="7" t="s">
        <v>228</v>
      </c>
      <c r="W11" s="195"/>
      <c r="X11" s="152"/>
      <c r="Y11" s="160"/>
    </row>
    <row r="12" spans="1:25" x14ac:dyDescent="0.25">
      <c r="B12" s="7" t="s">
        <v>31</v>
      </c>
      <c r="F12" s="124">
        <f>SUM(F10:F11)</f>
        <v>14951913</v>
      </c>
      <c r="G12" s="125"/>
      <c r="H12" s="210">
        <f>SUM(H10:H11)</f>
        <v>15619383</v>
      </c>
      <c r="I12" s="125"/>
      <c r="J12" s="127">
        <f>SUM(J10:J11)</f>
        <v>16453891</v>
      </c>
      <c r="K12" s="19"/>
      <c r="L12" s="124">
        <f>SUM(L10:L11)</f>
        <v>16453891</v>
      </c>
      <c r="M12" s="126"/>
      <c r="N12" s="126">
        <f>SUM(N10:N11)</f>
        <v>17117155</v>
      </c>
      <c r="O12" s="125"/>
      <c r="P12" s="127">
        <f>SUM(P10:P11)</f>
        <v>663264</v>
      </c>
      <c r="Q12" s="235"/>
      <c r="R12" s="240">
        <f>SUM(R10:R11)</f>
        <v>17117155</v>
      </c>
      <c r="S12" s="5"/>
      <c r="W12" s="195"/>
      <c r="X12" s="153"/>
      <c r="Y12" s="161"/>
    </row>
    <row r="13" spans="1:25" x14ac:dyDescent="0.25">
      <c r="F13" s="129"/>
      <c r="G13" s="128"/>
      <c r="H13" s="128"/>
      <c r="I13" s="128"/>
      <c r="J13" s="130"/>
      <c r="K13" s="19"/>
      <c r="L13" s="129"/>
      <c r="M13" s="128"/>
      <c r="N13" s="128"/>
      <c r="O13" s="128"/>
      <c r="P13" s="130"/>
      <c r="Q13" s="235"/>
      <c r="R13" s="241"/>
      <c r="S13" s="5"/>
      <c r="W13" s="195"/>
      <c r="X13" s="154"/>
      <c r="Y13" s="162"/>
    </row>
    <row r="14" spans="1:25" x14ac:dyDescent="0.25">
      <c r="B14" s="7" t="s">
        <v>32</v>
      </c>
      <c r="F14" s="122"/>
      <c r="G14" s="19"/>
      <c r="H14" s="19"/>
      <c r="I14" s="19"/>
      <c r="J14" s="123"/>
      <c r="K14" s="19"/>
      <c r="L14" s="122"/>
      <c r="M14" s="19"/>
      <c r="N14" s="19"/>
      <c r="O14" s="19"/>
      <c r="P14" s="123"/>
      <c r="Q14" s="204"/>
      <c r="R14" s="239"/>
      <c r="W14" s="195"/>
      <c r="X14" s="155"/>
      <c r="Y14" s="163"/>
    </row>
    <row r="15" spans="1:25" x14ac:dyDescent="0.25">
      <c r="C15" t="s">
        <v>33</v>
      </c>
      <c r="F15" s="122">
        <v>24752877</v>
      </c>
      <c r="G15" s="19"/>
      <c r="H15" s="211">
        <v>26215859</v>
      </c>
      <c r="I15" s="19"/>
      <c r="J15" s="123">
        <v>23732114</v>
      </c>
      <c r="K15" s="19"/>
      <c r="L15" s="122">
        <v>21406456</v>
      </c>
      <c r="M15" s="19"/>
      <c r="N15" s="19">
        <v>26884486</v>
      </c>
      <c r="O15" s="19"/>
      <c r="P15" s="123">
        <f t="shared" ref="P15:P19" si="1">R15-L15</f>
        <v>6342283</v>
      </c>
      <c r="Q15" s="204"/>
      <c r="R15" s="239">
        <v>27748739</v>
      </c>
      <c r="W15" s="195"/>
      <c r="X15" s="155"/>
      <c r="Y15" s="163">
        <f>R15-X15</f>
        <v>27748739</v>
      </c>
    </row>
    <row r="16" spans="1:25" x14ac:dyDescent="0.25">
      <c r="C16" t="s">
        <v>34</v>
      </c>
      <c r="F16" s="122">
        <v>10903</v>
      </c>
      <c r="G16" s="19"/>
      <c r="H16" s="211">
        <v>10509</v>
      </c>
      <c r="I16" s="19"/>
      <c r="J16" s="123">
        <v>8380</v>
      </c>
      <c r="K16" s="19"/>
      <c r="L16" s="122">
        <v>0</v>
      </c>
      <c r="M16" s="19"/>
      <c r="N16" s="211">
        <v>0</v>
      </c>
      <c r="O16" s="211"/>
      <c r="P16" s="379">
        <f t="shared" si="1"/>
        <v>0</v>
      </c>
      <c r="Q16" s="380"/>
      <c r="R16" s="375">
        <v>0</v>
      </c>
      <c r="W16" s="195"/>
      <c r="X16" s="155"/>
      <c r="Y16" s="163">
        <f>R16-X16</f>
        <v>0</v>
      </c>
    </row>
    <row r="17" spans="2:25" ht="15.75" x14ac:dyDescent="0.25">
      <c r="C17" t="s">
        <v>35</v>
      </c>
      <c r="F17" s="122">
        <v>605810</v>
      </c>
      <c r="G17" s="19"/>
      <c r="H17" s="211">
        <v>226093</v>
      </c>
      <c r="I17" s="19"/>
      <c r="J17" s="123">
        <v>3513205</v>
      </c>
      <c r="K17" s="19"/>
      <c r="L17" s="122">
        <v>5478030</v>
      </c>
      <c r="M17" s="19"/>
      <c r="N17" s="211">
        <v>0</v>
      </c>
      <c r="O17" s="211"/>
      <c r="P17" s="379">
        <f t="shared" si="1"/>
        <v>-5332160</v>
      </c>
      <c r="Q17" s="380"/>
      <c r="R17" s="375">
        <v>145870</v>
      </c>
      <c r="V17" s="65" t="s">
        <v>171</v>
      </c>
      <c r="W17" s="195"/>
      <c r="X17" s="155"/>
      <c r="Y17" s="163">
        <f>R17-X17</f>
        <v>145870</v>
      </c>
    </row>
    <row r="18" spans="2:25" x14ac:dyDescent="0.25">
      <c r="C18" t="s">
        <v>36</v>
      </c>
      <c r="F18" s="122">
        <v>4415</v>
      </c>
      <c r="G18" s="19"/>
      <c r="H18" s="211">
        <v>9104</v>
      </c>
      <c r="I18" s="19"/>
      <c r="J18" s="123">
        <v>10717</v>
      </c>
      <c r="K18" s="19"/>
      <c r="L18" s="122">
        <v>7007</v>
      </c>
      <c r="M18" s="19"/>
      <c r="N18" s="211">
        <v>7007</v>
      </c>
      <c r="O18" s="211"/>
      <c r="P18" s="379">
        <f t="shared" si="1"/>
        <v>2993</v>
      </c>
      <c r="Q18" s="380"/>
      <c r="R18" s="375">
        <v>10000</v>
      </c>
      <c r="W18" s="195"/>
      <c r="X18" s="155"/>
      <c r="Y18" s="163">
        <f>R18-X18</f>
        <v>10000</v>
      </c>
    </row>
    <row r="19" spans="2:25" x14ac:dyDescent="0.25">
      <c r="C19" t="s">
        <v>230</v>
      </c>
      <c r="F19" s="200">
        <v>120585</v>
      </c>
      <c r="G19" s="19"/>
      <c r="H19" s="211">
        <v>1371000</v>
      </c>
      <c r="I19" s="19"/>
      <c r="J19" s="123">
        <v>0</v>
      </c>
      <c r="K19" s="19"/>
      <c r="L19" s="122">
        <v>0</v>
      </c>
      <c r="M19" s="19"/>
      <c r="N19" s="211">
        <f>-353926*0</f>
        <v>0</v>
      </c>
      <c r="O19" s="211"/>
      <c r="P19" s="379">
        <f t="shared" si="1"/>
        <v>0</v>
      </c>
      <c r="Q19" s="380"/>
      <c r="R19" s="375">
        <v>0</v>
      </c>
      <c r="W19" s="195"/>
      <c r="X19" s="156"/>
      <c r="Y19" s="163">
        <f>R19-X19</f>
        <v>0</v>
      </c>
    </row>
    <row r="20" spans="2:25" x14ac:dyDescent="0.25">
      <c r="B20" s="7" t="s">
        <v>37</v>
      </c>
      <c r="F20" s="124">
        <f>SUM(F14:F19)</f>
        <v>25494590</v>
      </c>
      <c r="G20" s="126"/>
      <c r="H20" s="210">
        <f>SUM(H14:H19)</f>
        <v>27832565</v>
      </c>
      <c r="I20" s="126"/>
      <c r="J20" s="127">
        <f>SUM(J15:J19)</f>
        <v>27264416</v>
      </c>
      <c r="K20" s="19"/>
      <c r="L20" s="124">
        <f>SUM(L14:L19)</f>
        <v>26891493</v>
      </c>
      <c r="M20" s="126"/>
      <c r="N20" s="210">
        <f>SUM(N14:N19)</f>
        <v>26891493</v>
      </c>
      <c r="O20" s="210"/>
      <c r="P20" s="381">
        <f>SUM(P14:P19)</f>
        <v>1013116</v>
      </c>
      <c r="Q20" s="380"/>
      <c r="R20" s="382">
        <f>SUM(R14:R19)</f>
        <v>27904609</v>
      </c>
      <c r="W20" s="195"/>
      <c r="X20" s="153">
        <f>SUM(X14:X19)</f>
        <v>0</v>
      </c>
      <c r="Y20" s="161">
        <f>SUM(Y14:Y19)</f>
        <v>27904609</v>
      </c>
    </row>
    <row r="21" spans="2:25" x14ac:dyDescent="0.25">
      <c r="D21" s="187" t="s">
        <v>362</v>
      </c>
      <c r="E21" s="189"/>
      <c r="F21" s="174"/>
      <c r="G21" s="190"/>
      <c r="H21" s="190"/>
      <c r="I21" s="190"/>
      <c r="J21" s="191"/>
      <c r="K21" s="190"/>
      <c r="L21" s="174">
        <v>13378.85223880597</v>
      </c>
      <c r="M21" s="190"/>
      <c r="N21" s="383">
        <f>+N20/BudgetAssump!$J$8</f>
        <v>13378.85223880597</v>
      </c>
      <c r="O21" s="383"/>
      <c r="P21" s="384"/>
      <c r="Q21" s="385"/>
      <c r="R21" s="386">
        <f>+R20/BudgetAssump!$K$8</f>
        <v>13886.344364269718</v>
      </c>
      <c r="W21" s="195"/>
      <c r="X21" s="155"/>
      <c r="Y21" s="163"/>
    </row>
    <row r="22" spans="2:25" ht="15.75" thickBot="1" x14ac:dyDescent="0.3">
      <c r="B22" s="7" t="s">
        <v>38</v>
      </c>
      <c r="F22" s="144">
        <f>F12+F20</f>
        <v>40446503</v>
      </c>
      <c r="G22" s="145"/>
      <c r="H22" s="145">
        <f>H12+H20</f>
        <v>43451948</v>
      </c>
      <c r="I22" s="145"/>
      <c r="J22" s="139">
        <f>J12+J20</f>
        <v>43718307</v>
      </c>
      <c r="K22" s="19"/>
      <c r="L22" s="144">
        <f>L12+L20</f>
        <v>43345384</v>
      </c>
      <c r="M22" s="145"/>
      <c r="N22" s="218">
        <f>N12+N20</f>
        <v>44008648</v>
      </c>
      <c r="O22" s="218"/>
      <c r="P22" s="387">
        <f>P12+P20</f>
        <v>1676380</v>
      </c>
      <c r="Q22" s="380"/>
      <c r="R22" s="388">
        <f>R12+R20</f>
        <v>45021764</v>
      </c>
      <c r="W22" s="195"/>
      <c r="X22" s="156">
        <f>X12+X20</f>
        <v>0</v>
      </c>
      <c r="Y22" s="163">
        <f>R22-X22</f>
        <v>45021764</v>
      </c>
    </row>
    <row r="23" spans="2:25" x14ac:dyDescent="0.25">
      <c r="D23" s="187" t="s">
        <v>362</v>
      </c>
      <c r="E23" s="189"/>
      <c r="F23" s="174"/>
      <c r="G23" s="190"/>
      <c r="H23" s="190"/>
      <c r="I23" s="190"/>
      <c r="J23" s="123"/>
      <c r="K23" s="190"/>
      <c r="L23" s="192">
        <f>+L22/BudgetAssump!J8</f>
        <v>21564.867661691544</v>
      </c>
      <c r="M23" s="193"/>
      <c r="N23" s="389">
        <f>+N22/BudgetAssump!J8</f>
        <v>21894.849751243783</v>
      </c>
      <c r="O23" s="389"/>
      <c r="P23" s="390"/>
      <c r="Q23" s="385"/>
      <c r="R23" s="391">
        <f>+R22/BudgetAssump!K8</f>
        <v>22404.460811147052</v>
      </c>
      <c r="W23" s="195"/>
      <c r="X23" s="153"/>
      <c r="Y23" s="161"/>
    </row>
    <row r="24" spans="2:25" x14ac:dyDescent="0.25">
      <c r="F24" s="122"/>
      <c r="G24" s="19"/>
      <c r="H24" s="19"/>
      <c r="I24" s="19"/>
      <c r="J24" s="123"/>
      <c r="K24" s="19"/>
      <c r="L24" s="122"/>
      <c r="M24" s="19"/>
      <c r="N24" s="211"/>
      <c r="O24" s="211"/>
      <c r="P24" s="379"/>
      <c r="Q24" s="380"/>
      <c r="R24" s="375"/>
      <c r="W24" s="195"/>
      <c r="X24" s="155"/>
      <c r="Y24" s="163"/>
    </row>
    <row r="25" spans="2:25" x14ac:dyDescent="0.25">
      <c r="B25" s="7" t="s">
        <v>39</v>
      </c>
      <c r="F25" s="122"/>
      <c r="G25" s="19"/>
      <c r="H25" s="19"/>
      <c r="I25" s="19"/>
      <c r="J25" s="123"/>
      <c r="K25" s="19"/>
      <c r="L25" s="122"/>
      <c r="M25" s="19"/>
      <c r="N25" s="211"/>
      <c r="O25" s="211"/>
      <c r="P25" s="379"/>
      <c r="Q25" s="380"/>
      <c r="R25" s="375"/>
      <c r="W25" s="195"/>
      <c r="X25" s="155"/>
      <c r="Y25" s="163"/>
    </row>
    <row r="26" spans="2:25" x14ac:dyDescent="0.25">
      <c r="C26" t="s">
        <v>40</v>
      </c>
      <c r="F26" s="122">
        <v>11544570</v>
      </c>
      <c r="G26" s="19"/>
      <c r="H26" s="19">
        <v>12825041</v>
      </c>
      <c r="I26" s="19"/>
      <c r="J26" s="123">
        <f>14967960+141057-166252</f>
        <v>14942765</v>
      </c>
      <c r="K26" s="19"/>
      <c r="L26" s="122">
        <v>15787024</v>
      </c>
      <c r="M26" s="19"/>
      <c r="N26" s="211">
        <v>15787024</v>
      </c>
      <c r="O26" s="211"/>
      <c r="P26" s="379">
        <f t="shared" ref="P26:P35" si="2">R26-L26</f>
        <v>959160</v>
      </c>
      <c r="Q26" s="380"/>
      <c r="R26" s="375">
        <v>16746184</v>
      </c>
      <c r="W26" s="195"/>
      <c r="X26" s="155"/>
      <c r="Y26" s="163">
        <f t="shared" ref="Y26:Y34" si="3">R26-X26</f>
        <v>16746184</v>
      </c>
    </row>
    <row r="27" spans="2:25" x14ac:dyDescent="0.25">
      <c r="C27" t="s">
        <v>41</v>
      </c>
      <c r="F27" s="122">
        <v>878723</v>
      </c>
      <c r="G27" s="19"/>
      <c r="H27" s="19">
        <v>939951</v>
      </c>
      <c r="I27" s="19"/>
      <c r="J27" s="123">
        <v>1084756</v>
      </c>
      <c r="K27" s="19"/>
      <c r="L27" s="122">
        <v>1188623</v>
      </c>
      <c r="M27" s="19"/>
      <c r="N27" s="211">
        <v>1188623</v>
      </c>
      <c r="O27" s="211"/>
      <c r="P27" s="379">
        <f t="shared" si="2"/>
        <v>283394</v>
      </c>
      <c r="Q27" s="380"/>
      <c r="R27" s="375">
        <v>1472017</v>
      </c>
      <c r="W27" s="195"/>
      <c r="X27" s="155"/>
      <c r="Y27" s="163">
        <f t="shared" si="3"/>
        <v>1472017</v>
      </c>
    </row>
    <row r="28" spans="2:25" x14ac:dyDescent="0.25">
      <c r="C28" t="s">
        <v>42</v>
      </c>
      <c r="F28" s="122">
        <v>562647</v>
      </c>
      <c r="G28" s="19"/>
      <c r="H28" s="19">
        <v>581131</v>
      </c>
      <c r="I28" s="19"/>
      <c r="J28" s="123">
        <v>616159</v>
      </c>
      <c r="K28" s="19"/>
      <c r="L28" s="122">
        <v>731053</v>
      </c>
      <c r="M28" s="19"/>
      <c r="N28" s="211">
        <v>731053</v>
      </c>
      <c r="O28" s="211"/>
      <c r="P28" s="379">
        <f t="shared" si="2"/>
        <v>-98349</v>
      </c>
      <c r="Q28" s="380"/>
      <c r="R28" s="375">
        <v>632704</v>
      </c>
      <c r="W28" s="195"/>
      <c r="X28" s="155"/>
      <c r="Y28" s="163">
        <f t="shared" si="3"/>
        <v>632704</v>
      </c>
    </row>
    <row r="29" spans="2:25" ht="15.75" x14ac:dyDescent="0.25">
      <c r="C29" t="s">
        <v>43</v>
      </c>
      <c r="F29" s="122">
        <v>444857</v>
      </c>
      <c r="G29" s="19"/>
      <c r="H29" s="19">
        <v>435881</v>
      </c>
      <c r="I29" s="19"/>
      <c r="J29" s="123">
        <v>468841</v>
      </c>
      <c r="K29" s="19"/>
      <c r="L29" s="122">
        <v>479334</v>
      </c>
      <c r="M29" s="19"/>
      <c r="N29" s="211">
        <v>479334</v>
      </c>
      <c r="O29" s="211"/>
      <c r="P29" s="379">
        <f t="shared" si="2"/>
        <v>12369</v>
      </c>
      <c r="Q29" s="380"/>
      <c r="R29" s="375">
        <v>491703</v>
      </c>
      <c r="V29" s="65" t="s">
        <v>171</v>
      </c>
      <c r="W29" s="195"/>
      <c r="X29" s="155"/>
      <c r="Y29" s="163">
        <f t="shared" si="3"/>
        <v>491703</v>
      </c>
    </row>
    <row r="30" spans="2:25" x14ac:dyDescent="0.25">
      <c r="C30" t="s">
        <v>44</v>
      </c>
      <c r="F30" s="122">
        <v>1466826</v>
      </c>
      <c r="G30" s="19"/>
      <c r="H30" s="19">
        <v>1718522</v>
      </c>
      <c r="I30" s="19"/>
      <c r="J30" s="123">
        <v>1914415</v>
      </c>
      <c r="K30" s="19"/>
      <c r="L30" s="122">
        <v>1829474</v>
      </c>
      <c r="M30" s="19"/>
      <c r="N30" s="211">
        <v>1829474</v>
      </c>
      <c r="O30" s="211"/>
      <c r="P30" s="379">
        <f t="shared" si="2"/>
        <v>89744</v>
      </c>
      <c r="Q30" s="380"/>
      <c r="R30" s="375">
        <v>1919218</v>
      </c>
      <c r="W30" s="195"/>
      <c r="X30" s="155"/>
      <c r="Y30" s="163">
        <f t="shared" si="3"/>
        <v>1919218</v>
      </c>
    </row>
    <row r="31" spans="2:25" x14ac:dyDescent="0.25">
      <c r="C31" t="s">
        <v>45</v>
      </c>
      <c r="F31" s="122">
        <v>618386</v>
      </c>
      <c r="G31" s="19"/>
      <c r="H31" s="19">
        <v>614015</v>
      </c>
      <c r="I31" s="19"/>
      <c r="J31" s="123">
        <v>748289</v>
      </c>
      <c r="K31" s="19"/>
      <c r="L31" s="122">
        <v>672642</v>
      </c>
      <c r="M31" s="19"/>
      <c r="N31" s="211">
        <v>672642</v>
      </c>
      <c r="O31" s="211"/>
      <c r="P31" s="379">
        <f t="shared" si="2"/>
        <v>32686</v>
      </c>
      <c r="Q31" s="380"/>
      <c r="R31" s="375">
        <v>705328</v>
      </c>
      <c r="W31" s="195"/>
      <c r="X31" s="155"/>
      <c r="Y31" s="163">
        <f t="shared" si="3"/>
        <v>705328</v>
      </c>
    </row>
    <row r="32" spans="2:25" x14ac:dyDescent="0.25">
      <c r="C32" t="s">
        <v>46</v>
      </c>
      <c r="F32" s="122">
        <v>2528020</v>
      </c>
      <c r="G32" s="19"/>
      <c r="H32" s="19">
        <v>2729318</v>
      </c>
      <c r="I32" s="19"/>
      <c r="J32" s="123">
        <f>3873440-886139-3</f>
        <v>2987298</v>
      </c>
      <c r="K32" s="19"/>
      <c r="L32" s="122">
        <v>3396539</v>
      </c>
      <c r="M32" s="19"/>
      <c r="N32" s="211">
        <v>3361539</v>
      </c>
      <c r="O32" s="211"/>
      <c r="P32" s="379">
        <f t="shared" si="2"/>
        <v>-117382</v>
      </c>
      <c r="Q32" s="380"/>
      <c r="R32" s="375">
        <v>3279157</v>
      </c>
      <c r="W32" s="195"/>
      <c r="X32" s="155"/>
      <c r="Y32" s="163">
        <f t="shared" si="3"/>
        <v>3279157</v>
      </c>
    </row>
    <row r="33" spans="2:25" x14ac:dyDescent="0.25">
      <c r="C33" t="s">
        <v>47</v>
      </c>
      <c r="F33" s="122">
        <v>702020</v>
      </c>
      <c r="G33" s="19"/>
      <c r="H33" s="19">
        <v>785740</v>
      </c>
      <c r="I33" s="19"/>
      <c r="J33" s="123">
        <v>800644</v>
      </c>
      <c r="K33" s="19"/>
      <c r="L33" s="122">
        <v>761441</v>
      </c>
      <c r="M33" s="19"/>
      <c r="N33" s="211">
        <v>761441</v>
      </c>
      <c r="O33" s="211"/>
      <c r="P33" s="379">
        <f t="shared" si="2"/>
        <v>159471</v>
      </c>
      <c r="Q33" s="380"/>
      <c r="R33" s="375">
        <v>920912</v>
      </c>
      <c r="W33" s="195"/>
      <c r="X33" s="155"/>
      <c r="Y33" s="163">
        <f t="shared" si="3"/>
        <v>920912</v>
      </c>
    </row>
    <row r="34" spans="2:25" x14ac:dyDescent="0.25">
      <c r="C34" t="s">
        <v>48</v>
      </c>
      <c r="F34" s="122">
        <v>732886</v>
      </c>
      <c r="G34" s="19"/>
      <c r="H34" s="19">
        <v>768277</v>
      </c>
      <c r="I34" s="19"/>
      <c r="J34" s="123">
        <f>815532-49052</f>
        <v>766480</v>
      </c>
      <c r="K34" s="19"/>
      <c r="L34" s="122">
        <v>840069</v>
      </c>
      <c r="M34" s="19"/>
      <c r="N34" s="211">
        <v>840069</v>
      </c>
      <c r="O34" s="211"/>
      <c r="P34" s="379">
        <f t="shared" si="2"/>
        <v>-103809</v>
      </c>
      <c r="Q34" s="380"/>
      <c r="R34" s="375">
        <v>736260</v>
      </c>
      <c r="W34" s="195"/>
      <c r="X34" s="155"/>
      <c r="Y34" s="163">
        <f t="shared" si="3"/>
        <v>736260</v>
      </c>
    </row>
    <row r="35" spans="2:25" x14ac:dyDescent="0.25">
      <c r="C35" t="s">
        <v>49</v>
      </c>
      <c r="F35" s="131">
        <v>0</v>
      </c>
      <c r="G35" s="19"/>
      <c r="H35" s="132">
        <v>0</v>
      </c>
      <c r="I35" s="19"/>
      <c r="J35" s="133">
        <v>0</v>
      </c>
      <c r="K35" s="19"/>
      <c r="L35" s="122">
        <v>0</v>
      </c>
      <c r="M35" s="19"/>
      <c r="N35" s="211">
        <v>0</v>
      </c>
      <c r="O35" s="211"/>
      <c r="P35" s="379">
        <f t="shared" si="2"/>
        <v>0</v>
      </c>
      <c r="Q35" s="380"/>
      <c r="R35" s="375">
        <v>0</v>
      </c>
      <c r="W35" s="195"/>
      <c r="X35" s="156"/>
      <c r="Y35" s="163">
        <f>R31-X31</f>
        <v>705328</v>
      </c>
    </row>
    <row r="36" spans="2:25" x14ac:dyDescent="0.25">
      <c r="B36" s="7" t="s">
        <v>50</v>
      </c>
      <c r="F36" s="124">
        <f>SUM(F25:F35)</f>
        <v>19478935</v>
      </c>
      <c r="G36" s="125"/>
      <c r="H36" s="126">
        <f>SUM(H25:H35)</f>
        <v>21397876</v>
      </c>
      <c r="I36" s="125"/>
      <c r="J36" s="127">
        <f>SUM(J25:J35)</f>
        <v>24329647</v>
      </c>
      <c r="K36" s="19"/>
      <c r="L36" s="124">
        <f>SUM(L25:L35)</f>
        <v>25686199</v>
      </c>
      <c r="M36" s="126"/>
      <c r="N36" s="210">
        <f>SUM(N26:N35)</f>
        <v>25651199</v>
      </c>
      <c r="O36" s="392"/>
      <c r="P36" s="381">
        <f>SUM(P25:P35)</f>
        <v>1217284</v>
      </c>
      <c r="Q36" s="393"/>
      <c r="R36" s="382">
        <f>SUM(R25:R35)</f>
        <v>26903483</v>
      </c>
      <c r="W36" s="195"/>
      <c r="X36" s="153">
        <f>SUM(X25:X35)</f>
        <v>0</v>
      </c>
      <c r="Y36" s="161">
        <f>SUM(Y25:Y35)</f>
        <v>27608811</v>
      </c>
    </row>
    <row r="37" spans="2:25" x14ac:dyDescent="0.25">
      <c r="D37" s="187" t="s">
        <v>363</v>
      </c>
      <c r="F37" s="122"/>
      <c r="G37" s="19"/>
      <c r="H37" s="19"/>
      <c r="I37" s="19"/>
      <c r="J37" s="123"/>
      <c r="K37" s="19"/>
      <c r="L37" s="174">
        <f>+L36/BudgetAssump!J8</f>
        <v>12779.203482587065</v>
      </c>
      <c r="M37" s="19"/>
      <c r="N37" s="383">
        <f>+N36/BudgetAssump!J8</f>
        <v>12761.790547263681</v>
      </c>
      <c r="O37" s="211"/>
      <c r="P37" s="379"/>
      <c r="Q37" s="380"/>
      <c r="R37" s="386">
        <f>+R36/BudgetAssump!K8</f>
        <v>13388.147797959691</v>
      </c>
      <c r="W37" s="195"/>
      <c r="X37" s="155"/>
      <c r="Y37" s="163"/>
    </row>
    <row r="38" spans="2:25" ht="15.75" x14ac:dyDescent="0.25">
      <c r="B38" s="7" t="s">
        <v>51</v>
      </c>
      <c r="F38" s="122"/>
      <c r="G38" s="19"/>
      <c r="H38" s="19"/>
      <c r="I38" s="19"/>
      <c r="J38" s="123"/>
      <c r="K38" s="19"/>
      <c r="L38" s="122"/>
      <c r="M38" s="19"/>
      <c r="N38" s="211"/>
      <c r="O38" s="211"/>
      <c r="P38" s="379"/>
      <c r="Q38" s="380"/>
      <c r="R38" s="375"/>
      <c r="V38" s="65" t="s">
        <v>171</v>
      </c>
      <c r="W38" s="195"/>
      <c r="X38" s="155"/>
      <c r="Y38" s="163"/>
    </row>
    <row r="39" spans="2:25" x14ac:dyDescent="0.25">
      <c r="C39" t="s">
        <v>51</v>
      </c>
      <c r="F39" s="131">
        <v>5348183</v>
      </c>
      <c r="G39" s="19"/>
      <c r="H39" s="132">
        <v>5600181</v>
      </c>
      <c r="I39" s="19"/>
      <c r="J39" s="133">
        <f>6455033+957000-5140527</f>
        <v>2271506</v>
      </c>
      <c r="K39" s="19"/>
      <c r="L39" s="122">
        <v>1205294</v>
      </c>
      <c r="M39" s="19"/>
      <c r="N39" s="211">
        <v>1240294</v>
      </c>
      <c r="O39" s="211"/>
      <c r="P39" s="379">
        <f t="shared" ref="P39" si="4">R39-L39</f>
        <v>-204168</v>
      </c>
      <c r="Q39" s="380"/>
      <c r="R39" s="375">
        <v>1001126</v>
      </c>
      <c r="W39" s="195"/>
      <c r="X39" s="156"/>
      <c r="Y39" s="163">
        <f>R35-X35</f>
        <v>0</v>
      </c>
    </row>
    <row r="40" spans="2:25" x14ac:dyDescent="0.25">
      <c r="B40" s="7" t="s">
        <v>52</v>
      </c>
      <c r="F40" s="124">
        <f>+F39</f>
        <v>5348183</v>
      </c>
      <c r="G40" s="125"/>
      <c r="H40" s="126">
        <f>+H39</f>
        <v>5600181</v>
      </c>
      <c r="I40" s="125"/>
      <c r="J40" s="127">
        <f>+J39</f>
        <v>2271506</v>
      </c>
      <c r="K40" s="19"/>
      <c r="L40" s="124">
        <f>+L39</f>
        <v>1205294</v>
      </c>
      <c r="M40" s="126"/>
      <c r="N40" s="210">
        <f>+N39</f>
        <v>1240294</v>
      </c>
      <c r="O40" s="392"/>
      <c r="P40" s="381">
        <f>+P39</f>
        <v>-204168</v>
      </c>
      <c r="Q40" s="393"/>
      <c r="R40" s="382">
        <f>R39</f>
        <v>1001126</v>
      </c>
      <c r="W40" s="195"/>
      <c r="X40" s="153">
        <f>X39</f>
        <v>0</v>
      </c>
      <c r="Y40" s="161">
        <f>Y39</f>
        <v>0</v>
      </c>
    </row>
    <row r="41" spans="2:25" ht="5.25" customHeight="1" x14ac:dyDescent="0.25">
      <c r="F41" s="122"/>
      <c r="G41" s="19"/>
      <c r="H41" s="19"/>
      <c r="I41" s="19"/>
      <c r="J41" s="123"/>
      <c r="K41" s="19"/>
      <c r="L41" s="122"/>
      <c r="M41" s="19"/>
      <c r="N41" s="211"/>
      <c r="O41" s="211"/>
      <c r="P41" s="379"/>
      <c r="Q41" s="380"/>
      <c r="R41" s="375"/>
      <c r="W41" s="195"/>
      <c r="X41" s="155"/>
      <c r="Y41" s="163"/>
    </row>
    <row r="42" spans="2:25" x14ac:dyDescent="0.25">
      <c r="F42" s="122"/>
      <c r="G42" s="19"/>
      <c r="H42" s="19"/>
      <c r="I42" s="19"/>
      <c r="J42" s="123"/>
      <c r="K42" s="19"/>
      <c r="L42" s="122"/>
      <c r="M42" s="19"/>
      <c r="N42" s="211"/>
      <c r="O42" s="211"/>
      <c r="P42" s="379"/>
      <c r="Q42" s="380"/>
      <c r="R42" s="375"/>
      <c r="W42" s="195"/>
      <c r="X42" s="155"/>
      <c r="Y42" s="163"/>
    </row>
    <row r="43" spans="2:25" ht="15.75" thickBot="1" x14ac:dyDescent="0.3">
      <c r="D43" s="53" t="s">
        <v>193</v>
      </c>
      <c r="F43" s="134">
        <f>+F20-F36-F40</f>
        <v>667472</v>
      </c>
      <c r="G43" s="135"/>
      <c r="H43" s="135">
        <f>+H20-H36-H40</f>
        <v>834508</v>
      </c>
      <c r="I43" s="135"/>
      <c r="J43" s="136">
        <f>+J20-J36-J40</f>
        <v>663263</v>
      </c>
      <c r="K43" s="170"/>
      <c r="L43" s="134">
        <f>+L20-L36-L40</f>
        <v>0</v>
      </c>
      <c r="M43" s="135"/>
      <c r="N43" s="208">
        <f>+N20-N36-N40</f>
        <v>0</v>
      </c>
      <c r="O43" s="208"/>
      <c r="P43" s="394">
        <f>+P20-P36-P40</f>
        <v>0</v>
      </c>
      <c r="Q43" s="395"/>
      <c r="R43" s="396">
        <f>+R20-R36-R40</f>
        <v>0</v>
      </c>
      <c r="W43" s="195"/>
      <c r="X43" s="157">
        <f>+X20-X36-X40</f>
        <v>0</v>
      </c>
      <c r="Y43" s="164">
        <f>+Y20-Y36-Y40</f>
        <v>295798</v>
      </c>
    </row>
    <row r="44" spans="2:25" ht="12" customHeight="1" thickTop="1" x14ac:dyDescent="0.25">
      <c r="F44" s="122"/>
      <c r="G44" s="19"/>
      <c r="H44" s="19"/>
      <c r="I44" s="19"/>
      <c r="J44" s="123"/>
      <c r="K44" s="19"/>
      <c r="L44" s="122"/>
      <c r="M44" s="19"/>
      <c r="N44" s="211"/>
      <c r="O44" s="211"/>
      <c r="P44" s="379"/>
      <c r="Q44" s="380"/>
      <c r="R44" s="375"/>
      <c r="W44" s="195"/>
    </row>
    <row r="45" spans="2:25" x14ac:dyDescent="0.25">
      <c r="B45" s="7" t="s">
        <v>53</v>
      </c>
      <c r="F45" s="122"/>
      <c r="G45" s="19"/>
      <c r="H45" s="19"/>
      <c r="I45" s="19"/>
      <c r="J45" s="123"/>
      <c r="K45" s="19"/>
      <c r="L45" s="122"/>
      <c r="M45" s="19"/>
      <c r="N45" s="19"/>
      <c r="O45" s="19"/>
      <c r="P45" s="123"/>
      <c r="Q45" s="204"/>
      <c r="R45" s="239"/>
      <c r="V45" t="s">
        <v>301</v>
      </c>
      <c r="W45" s="195"/>
    </row>
    <row r="46" spans="2:25" x14ac:dyDescent="0.25">
      <c r="C46" t="s">
        <v>54</v>
      </c>
      <c r="F46" s="122">
        <f>+F10</f>
        <v>711000</v>
      </c>
      <c r="G46" s="19"/>
      <c r="H46" s="204">
        <f>+H10</f>
        <v>952000</v>
      </c>
      <c r="I46" s="19"/>
      <c r="J46" s="123">
        <f>+J10</f>
        <v>877000</v>
      </c>
      <c r="K46" s="19"/>
      <c r="L46" s="122">
        <f>+L10</f>
        <v>952000</v>
      </c>
      <c r="M46" s="19"/>
      <c r="N46" s="19">
        <f>+N10</f>
        <v>952000</v>
      </c>
      <c r="O46" s="19"/>
      <c r="P46" s="123">
        <f t="shared" ref="P46" si="5">R46-L46</f>
        <v>0</v>
      </c>
      <c r="Q46" s="204"/>
      <c r="R46" s="239">
        <f>+R10</f>
        <v>952000</v>
      </c>
      <c r="V46" s="172" t="s">
        <v>360</v>
      </c>
      <c r="W46" s="195"/>
      <c r="X46" t="s">
        <v>299</v>
      </c>
    </row>
    <row r="47" spans="2:25" x14ac:dyDescent="0.25">
      <c r="C47" t="s">
        <v>194</v>
      </c>
      <c r="F47" s="131">
        <f>F12+F43-F46</f>
        <v>14908385</v>
      </c>
      <c r="G47" s="19"/>
      <c r="H47" s="132">
        <f>H12+H43-H46</f>
        <v>15501891</v>
      </c>
      <c r="I47" s="19"/>
      <c r="J47" s="133">
        <f>J12+J43-J46</f>
        <v>16240154</v>
      </c>
      <c r="K47" s="19"/>
      <c r="L47" s="122">
        <f>L12+L43-L46</f>
        <v>15501891</v>
      </c>
      <c r="M47" s="19"/>
      <c r="N47" s="19">
        <f>N12+N43-N46</f>
        <v>16165155</v>
      </c>
      <c r="O47" s="19"/>
      <c r="P47" s="123">
        <f>+R47-L47</f>
        <v>663264</v>
      </c>
      <c r="Q47" s="204"/>
      <c r="R47" s="239">
        <f>R12+R43-R46</f>
        <v>16165155</v>
      </c>
      <c r="V47" s="172" t="s">
        <v>361</v>
      </c>
      <c r="W47" s="195"/>
      <c r="X47" t="s">
        <v>300</v>
      </c>
    </row>
    <row r="48" spans="2:25" ht="15.75" thickBot="1" x14ac:dyDescent="0.3">
      <c r="B48" s="7" t="s">
        <v>55</v>
      </c>
      <c r="F48" s="137">
        <f>SUM(F45:F47)</f>
        <v>15619385</v>
      </c>
      <c r="G48" s="138"/>
      <c r="H48" s="138">
        <f>SUM(H45:H47)</f>
        <v>16453891</v>
      </c>
      <c r="I48" s="138"/>
      <c r="J48" s="139">
        <f>SUM(J45:J47)</f>
        <v>17117154</v>
      </c>
      <c r="K48" s="19"/>
      <c r="L48" s="124">
        <f>SUM(L45:L47)</f>
        <v>16453891</v>
      </c>
      <c r="M48" s="126"/>
      <c r="N48" s="126">
        <f>SUM(N45:N47)</f>
        <v>17117155</v>
      </c>
      <c r="O48" s="126"/>
      <c r="P48" s="127">
        <f>SUM(P45:P47)</f>
        <v>663264</v>
      </c>
      <c r="Q48" s="204"/>
      <c r="R48" s="240">
        <f>SUM(R45:R47)</f>
        <v>17117155</v>
      </c>
    </row>
    <row r="49" spans="6:18" x14ac:dyDescent="0.25">
      <c r="F49" s="19"/>
      <c r="G49" s="19"/>
      <c r="H49" s="19"/>
      <c r="I49" s="19"/>
      <c r="J49" s="19"/>
      <c r="K49" s="19"/>
      <c r="L49" s="122"/>
      <c r="M49" s="19"/>
      <c r="N49" s="19"/>
      <c r="O49" s="19"/>
      <c r="P49" s="123"/>
      <c r="Q49" s="204"/>
      <c r="R49" s="239"/>
    </row>
    <row r="50" spans="6:18" ht="15.75" thickBot="1" x14ac:dyDescent="0.3">
      <c r="F50" s="19"/>
      <c r="G50" s="19"/>
      <c r="H50" s="19"/>
      <c r="I50" s="19"/>
      <c r="J50" s="53" t="s">
        <v>414</v>
      </c>
      <c r="K50" s="19"/>
      <c r="L50" s="144">
        <f>L36-L40+L48</f>
        <v>40934796</v>
      </c>
      <c r="M50" s="145"/>
      <c r="N50" s="145">
        <f>N36+M40+N48</f>
        <v>42768354</v>
      </c>
      <c r="O50" s="145"/>
      <c r="P50" s="139">
        <f>P36+O40+P48</f>
        <v>1880548</v>
      </c>
      <c r="Q50" s="204"/>
      <c r="R50" s="242">
        <f>R36+R40+R48</f>
        <v>45021764</v>
      </c>
    </row>
    <row r="51" spans="6:18" ht="15" customHeight="1" thickBot="1" x14ac:dyDescent="0.3">
      <c r="F51" s="19"/>
      <c r="G51" s="19"/>
      <c r="H51" s="19"/>
      <c r="I51" s="19"/>
      <c r="J51" s="53"/>
      <c r="K51" s="19"/>
      <c r="L51" s="19"/>
      <c r="M51" s="19"/>
      <c r="N51" s="19"/>
      <c r="O51" s="19"/>
      <c r="P51" s="19"/>
      <c r="Q51" s="19"/>
      <c r="R51" s="19"/>
    </row>
    <row r="52" spans="6:18" ht="15.75" thickBot="1" x14ac:dyDescent="0.3">
      <c r="F52" s="105"/>
      <c r="G52" s="105"/>
      <c r="H52" s="105"/>
      <c r="I52" s="105"/>
      <c r="J52" s="53" t="s">
        <v>268</v>
      </c>
      <c r="K52" s="105"/>
      <c r="L52" s="171">
        <f>L50</f>
        <v>40934796</v>
      </c>
      <c r="M52" s="165"/>
      <c r="N52" s="165"/>
      <c r="O52" s="165"/>
      <c r="P52" s="165"/>
      <c r="Q52" s="165"/>
      <c r="R52" s="171">
        <f>R50</f>
        <v>45021764</v>
      </c>
    </row>
    <row r="53" spans="6:18" x14ac:dyDescent="0.25">
      <c r="F53" s="5"/>
      <c r="G53" s="5"/>
      <c r="H53" s="5"/>
      <c r="I53" s="5"/>
      <c r="J53" s="53" t="s">
        <v>355</v>
      </c>
      <c r="K53" s="5"/>
      <c r="L53" s="214">
        <f>+L52/BudgetAssump!K8</f>
        <v>20370.637472007962</v>
      </c>
      <c r="M53" s="5"/>
      <c r="N53" s="5"/>
      <c r="O53" s="5"/>
      <c r="P53" s="5"/>
      <c r="Q53" s="5"/>
      <c r="R53" s="214">
        <f>+R52/BudgetAssump!K8</f>
        <v>22404.460811147052</v>
      </c>
    </row>
  </sheetData>
  <pageMargins left="0.27" right="0.25" top="0.43" bottom="0.4" header="0.3" footer="0.17"/>
  <pageSetup scale="60" orientation="portrait" r:id="rId1"/>
  <headerFooter>
    <oddFooter>&amp;L&amp;D &amp;F&amp;C1&amp;R&amp;A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7">
    <pageSetUpPr fitToPage="1"/>
  </sheetPr>
  <dimension ref="A1:BA42"/>
  <sheetViews>
    <sheetView zoomScaleNormal="100" workbookViewId="0">
      <selection activeCell="C3" sqref="C3"/>
    </sheetView>
  </sheetViews>
  <sheetFormatPr defaultRowHeight="15" x14ac:dyDescent="0.25"/>
  <cols>
    <col min="1" max="1" width="2.42578125" customWidth="1"/>
    <col min="2" max="2" width="6.570312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5703125" customWidth="1"/>
    <col min="20" max="20" width="4.42578125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34.42578125" hidden="1" customWidth="1"/>
    <col min="31" max="31" width="18" hidden="1" customWidth="1"/>
    <col min="32" max="32" width="19.5703125" hidden="1" customWidth="1"/>
    <col min="33" max="33" width="17.42578125" hidden="1" customWidth="1"/>
    <col min="34" max="34" width="16.140625" hidden="1" customWidth="1"/>
    <col min="35" max="35" width="10.5703125" hidden="1" customWidth="1"/>
    <col min="36" max="36" width="0" hidden="1" customWidth="1"/>
    <col min="37" max="37" width="13.85546875" hidden="1" customWidth="1"/>
    <col min="38" max="42" width="0" hidden="1" customWidth="1"/>
    <col min="43" max="43" width="12.42578125" hidden="1" customWidth="1"/>
    <col min="44" max="44" width="10" hidden="1" customWidth="1"/>
    <col min="45" max="45" width="20.42578125" hidden="1" customWidth="1"/>
    <col min="46" max="46" width="18.140625" hidden="1" customWidth="1"/>
    <col min="47" max="52" width="0" hidden="1" customWidth="1"/>
    <col min="53" max="53" width="12.85546875" hidden="1" customWidth="1"/>
    <col min="54" max="54" width="0" hidden="1" customWidth="1"/>
  </cols>
  <sheetData>
    <row r="1" spans="1:34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34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  <c r="W2" s="7" t="s">
        <v>377</v>
      </c>
    </row>
    <row r="3" spans="1:34" ht="16.5" thickBot="1" x14ac:dyDescent="0.3">
      <c r="A3" s="4" t="s">
        <v>255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196" t="s">
        <v>287</v>
      </c>
      <c r="X3" s="196"/>
      <c r="Y3" s="196"/>
      <c r="Z3" s="196"/>
      <c r="AA3" s="196"/>
      <c r="AB3" s="196"/>
      <c r="AC3" s="196"/>
    </row>
    <row r="4" spans="1:34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197"/>
      <c r="X4" s="197"/>
      <c r="Y4" s="197"/>
      <c r="Z4" s="197"/>
      <c r="AA4" s="197"/>
      <c r="AB4" s="197"/>
      <c r="AC4" s="197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</row>
    <row r="5" spans="1:34" ht="15.7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7" t="str">
        <f>'GF Summary 10'!P6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</row>
    <row r="6" spans="1:34" ht="15.75" thickBot="1" x14ac:dyDescent="0.3">
      <c r="F6" s="223" t="str">
        <f>'GF Summary 10'!$F$7</f>
        <v>FY 22-23</v>
      </c>
      <c r="G6" s="224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'GF Summary 10'!P7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69" t="e">
        <f>+#REF!</f>
        <v>#REF!</v>
      </c>
      <c r="AF6" s="69" t="e">
        <f>+#REF!</f>
        <v>#REF!</v>
      </c>
      <c r="AG6" s="69" t="e">
        <f>+#REF!</f>
        <v>#REF!</v>
      </c>
      <c r="AH6" s="69" t="e">
        <f>+#REF!</f>
        <v>#REF!</v>
      </c>
    </row>
    <row r="7" spans="1:34" x14ac:dyDescent="0.25">
      <c r="B7" s="7" t="s">
        <v>29</v>
      </c>
      <c r="F7" s="371"/>
      <c r="G7" s="128"/>
      <c r="H7" s="217"/>
      <c r="I7" s="128"/>
      <c r="J7" s="372"/>
      <c r="K7" s="19"/>
      <c r="L7" s="371"/>
      <c r="M7" s="128"/>
      <c r="N7" s="217"/>
      <c r="O7" s="128"/>
      <c r="P7" s="128"/>
      <c r="Q7" s="239"/>
      <c r="R7" s="130"/>
      <c r="S7" s="5"/>
      <c r="U7" s="399"/>
      <c r="W7" s="59">
        <v>18</v>
      </c>
      <c r="X7" s="59" t="s">
        <v>276</v>
      </c>
      <c r="Y7" s="59" t="s">
        <v>277</v>
      </c>
      <c r="Z7" s="59" t="s">
        <v>278</v>
      </c>
      <c r="AA7" s="59" t="s">
        <v>288</v>
      </c>
      <c r="AB7" s="59" t="s">
        <v>276</v>
      </c>
      <c r="AC7" s="59" t="s">
        <v>278</v>
      </c>
      <c r="AD7" t="s">
        <v>157</v>
      </c>
      <c r="AE7" s="91"/>
      <c r="AF7" s="91"/>
      <c r="AG7" s="91"/>
      <c r="AH7" s="91"/>
    </row>
    <row r="8" spans="1:34" x14ac:dyDescent="0.25">
      <c r="C8" t="s">
        <v>211</v>
      </c>
      <c r="F8" s="122">
        <v>374722</v>
      </c>
      <c r="G8" s="19"/>
      <c r="H8" s="19">
        <v>374722</v>
      </c>
      <c r="I8" s="19"/>
      <c r="J8" s="123">
        <v>347482</v>
      </c>
      <c r="K8" s="19"/>
      <c r="L8" s="122">
        <v>347482</v>
      </c>
      <c r="M8" s="19"/>
      <c r="N8" s="19">
        <v>347998</v>
      </c>
      <c r="O8" s="19"/>
      <c r="P8" s="19">
        <f>R8-L8</f>
        <v>-58123</v>
      </c>
      <c r="Q8" s="239"/>
      <c r="R8" s="123">
        <v>289359</v>
      </c>
      <c r="S8" s="5"/>
      <c r="U8" s="399"/>
      <c r="W8" s="59">
        <v>18</v>
      </c>
      <c r="X8" s="59" t="s">
        <v>276</v>
      </c>
      <c r="Y8" s="59" t="s">
        <v>277</v>
      </c>
      <c r="Z8" s="59" t="s">
        <v>278</v>
      </c>
      <c r="AA8" s="59" t="s">
        <v>289</v>
      </c>
      <c r="AB8" s="59" t="s">
        <v>276</v>
      </c>
      <c r="AC8" s="59" t="s">
        <v>278</v>
      </c>
      <c r="AD8" t="s">
        <v>156</v>
      </c>
      <c r="AE8" s="91"/>
      <c r="AF8" s="91"/>
      <c r="AG8" s="91"/>
      <c r="AH8" s="91"/>
    </row>
    <row r="9" spans="1:34" x14ac:dyDescent="0.25">
      <c r="B9" s="7" t="s">
        <v>31</v>
      </c>
      <c r="F9" s="124">
        <f>SUM(F8:F8)</f>
        <v>374722</v>
      </c>
      <c r="G9" s="125"/>
      <c r="H9" s="126">
        <f>SUM(H8:H8)</f>
        <v>374722</v>
      </c>
      <c r="I9" s="125"/>
      <c r="J9" s="127">
        <f>SUM(J8:J8)</f>
        <v>347482</v>
      </c>
      <c r="K9" s="19"/>
      <c r="L9" s="124">
        <f>SUM(L8:L8)</f>
        <v>347482</v>
      </c>
      <c r="M9" s="125"/>
      <c r="N9" s="126">
        <f>SUM(N8:N8)</f>
        <v>347998</v>
      </c>
      <c r="O9" s="125"/>
      <c r="P9" s="126">
        <f>SUM(P8:P8)</f>
        <v>-58123</v>
      </c>
      <c r="Q9" s="239"/>
      <c r="R9" s="127">
        <f>SUM(R8:R8)</f>
        <v>289359</v>
      </c>
      <c r="S9" s="5"/>
      <c r="U9" s="399"/>
      <c r="W9" s="59">
        <v>18</v>
      </c>
      <c r="X9" s="59" t="s">
        <v>276</v>
      </c>
      <c r="Y9" s="59" t="s">
        <v>277</v>
      </c>
      <c r="Z9" s="59" t="s">
        <v>278</v>
      </c>
      <c r="AA9" s="59" t="s">
        <v>290</v>
      </c>
      <c r="AB9" s="59" t="s">
        <v>276</v>
      </c>
      <c r="AC9" s="59" t="s">
        <v>278</v>
      </c>
      <c r="AD9" t="s">
        <v>155</v>
      </c>
      <c r="AE9" s="91"/>
      <c r="AF9" s="91"/>
      <c r="AG9" s="91"/>
      <c r="AH9" s="91"/>
    </row>
    <row r="10" spans="1:34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399"/>
      <c r="W10" s="59"/>
      <c r="X10" s="59"/>
      <c r="Y10" s="59"/>
      <c r="Z10" s="59"/>
      <c r="AA10" s="59"/>
      <c r="AB10" s="59"/>
      <c r="AC10" s="59"/>
      <c r="AE10" s="91"/>
      <c r="AF10" s="91"/>
      <c r="AG10" s="91"/>
      <c r="AH10" s="91"/>
    </row>
    <row r="11" spans="1:34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E11" s="91"/>
      <c r="AF11" s="91"/>
      <c r="AG11" s="91"/>
      <c r="AH11" s="91"/>
    </row>
    <row r="12" spans="1:34" x14ac:dyDescent="0.25">
      <c r="B12" s="7">
        <v>1985</v>
      </c>
      <c r="C12" t="s">
        <v>157</v>
      </c>
      <c r="F12" s="122">
        <v>45350</v>
      </c>
      <c r="G12" s="19"/>
      <c r="H12" s="19">
        <v>45205</v>
      </c>
      <c r="I12" s="19"/>
      <c r="J12" s="123">
        <v>45205</v>
      </c>
      <c r="K12" s="19"/>
      <c r="L12" s="122">
        <v>764280</v>
      </c>
      <c r="M12" s="19"/>
      <c r="N12" s="19">
        <v>764280</v>
      </c>
      <c r="O12" s="19"/>
      <c r="P12" s="19">
        <f t="shared" ref="P12" si="0">R12-L12</f>
        <v>-14280</v>
      </c>
      <c r="Q12" s="239"/>
      <c r="R12" s="123">
        <v>750000</v>
      </c>
      <c r="U12" s="399"/>
      <c r="W12" s="59"/>
      <c r="X12" s="59"/>
      <c r="Y12" s="59"/>
      <c r="Z12" s="59"/>
      <c r="AA12" s="59"/>
      <c r="AB12" s="59"/>
      <c r="AC12" s="59"/>
      <c r="AE12" s="91"/>
      <c r="AF12" s="91"/>
      <c r="AG12" s="91"/>
      <c r="AH12" s="91"/>
    </row>
    <row r="13" spans="1:34" x14ac:dyDescent="0.25">
      <c r="B13" s="7">
        <v>1990</v>
      </c>
      <c r="C13" t="s">
        <v>156</v>
      </c>
      <c r="F13" s="122">
        <v>10606</v>
      </c>
      <c r="G13" s="19"/>
      <c r="H13" s="19">
        <v>126601</v>
      </c>
      <c r="I13" s="19"/>
      <c r="J13" s="123">
        <v>126601</v>
      </c>
      <c r="K13" s="19"/>
      <c r="L13" s="122">
        <v>0</v>
      </c>
      <c r="M13" s="19"/>
      <c r="N13" s="19">
        <f>+AG8</f>
        <v>0</v>
      </c>
      <c r="O13" s="19"/>
      <c r="P13" s="19">
        <f t="shared" ref="P13:P14" si="1">R13-L13</f>
        <v>14700</v>
      </c>
      <c r="Q13" s="239"/>
      <c r="R13" s="123">
        <v>14700</v>
      </c>
      <c r="U13" s="399"/>
      <c r="W13" s="59"/>
      <c r="X13" s="59"/>
      <c r="Y13" s="59"/>
      <c r="Z13" s="59"/>
      <c r="AA13" s="59"/>
      <c r="AB13" s="59"/>
      <c r="AC13" s="59"/>
      <c r="AE13" s="91"/>
      <c r="AF13" s="91"/>
      <c r="AG13" s="91"/>
      <c r="AH13" s="91"/>
    </row>
    <row r="14" spans="1:34" x14ac:dyDescent="0.25">
      <c r="B14" s="7">
        <v>5210</v>
      </c>
      <c r="C14" t="s">
        <v>155</v>
      </c>
      <c r="F14" s="122">
        <v>587347</v>
      </c>
      <c r="G14" s="19"/>
      <c r="H14" s="19">
        <v>674000</v>
      </c>
      <c r="I14" s="19"/>
      <c r="J14" s="123">
        <v>674000</v>
      </c>
      <c r="K14" s="19"/>
      <c r="L14" s="122">
        <v>630294</v>
      </c>
      <c r="M14" s="19"/>
      <c r="N14" s="19">
        <v>630294</v>
      </c>
      <c r="O14" s="19"/>
      <c r="P14" s="19">
        <f t="shared" si="1"/>
        <v>-14168</v>
      </c>
      <c r="Q14" s="239"/>
      <c r="R14" s="123">
        <v>616126</v>
      </c>
      <c r="U14" s="399"/>
      <c r="W14" s="59"/>
      <c r="X14" s="59"/>
      <c r="Y14" s="59"/>
      <c r="Z14" s="59"/>
      <c r="AA14" s="59"/>
      <c r="AB14" s="59"/>
      <c r="AC14" s="59"/>
      <c r="AE14" s="91"/>
      <c r="AF14" s="91"/>
      <c r="AG14" s="91"/>
      <c r="AH14" s="91"/>
    </row>
    <row r="15" spans="1:34" x14ac:dyDescent="0.25">
      <c r="B15" s="7" t="s">
        <v>37</v>
      </c>
      <c r="F15" s="124">
        <f>SUM(F11:F14)</f>
        <v>643303</v>
      </c>
      <c r="G15" s="126"/>
      <c r="H15" s="126">
        <f>SUM(H11:H14)</f>
        <v>845806</v>
      </c>
      <c r="I15" s="126"/>
      <c r="J15" s="127">
        <f>SUM(J12:J14)</f>
        <v>845806</v>
      </c>
      <c r="K15" s="19"/>
      <c r="L15" s="124">
        <f>SUM(L11:L14)</f>
        <v>1394574</v>
      </c>
      <c r="M15" s="126"/>
      <c r="N15" s="126">
        <f>SUM(N11:N14)</f>
        <v>1394574</v>
      </c>
      <c r="O15" s="126"/>
      <c r="P15" s="126">
        <f>SUM(P11:P14)</f>
        <v>-13748</v>
      </c>
      <c r="Q15" s="239"/>
      <c r="R15" s="127">
        <f>SUM(R11:R14)</f>
        <v>1380826</v>
      </c>
      <c r="U15" s="399"/>
      <c r="AE15" s="91"/>
      <c r="AF15" s="91"/>
      <c r="AG15" s="91"/>
      <c r="AH15" s="91"/>
    </row>
    <row r="16" spans="1:34" x14ac:dyDescent="0.25">
      <c r="F16" s="122"/>
      <c r="G16" s="19"/>
      <c r="H16" s="19"/>
      <c r="I16" s="19"/>
      <c r="J16" s="123"/>
      <c r="K16" s="19"/>
      <c r="L16" s="122"/>
      <c r="M16" s="19"/>
      <c r="N16" s="19"/>
      <c r="O16" s="19"/>
      <c r="P16" s="19"/>
      <c r="Q16" s="239"/>
      <c r="R16" s="123"/>
      <c r="U16" s="399"/>
    </row>
    <row r="17" spans="2:53" ht="16.5" thickBot="1" x14ac:dyDescent="0.3">
      <c r="B17" s="7" t="s">
        <v>38</v>
      </c>
      <c r="F17" s="124">
        <f>F9+F15</f>
        <v>1018025</v>
      </c>
      <c r="G17" s="126"/>
      <c r="H17" s="126">
        <f>H9+H15</f>
        <v>1220528</v>
      </c>
      <c r="I17" s="126"/>
      <c r="J17" s="127">
        <f>J9+J15</f>
        <v>1193288</v>
      </c>
      <c r="K17" s="19"/>
      <c r="L17" s="124">
        <f>L9+L15</f>
        <v>1742056</v>
      </c>
      <c r="M17" s="126"/>
      <c r="N17" s="126">
        <f>N9+N15</f>
        <v>1742572</v>
      </c>
      <c r="O17" s="126"/>
      <c r="P17" s="126">
        <f>P9+P15</f>
        <v>-71871</v>
      </c>
      <c r="Q17" s="239"/>
      <c r="R17" s="127">
        <f>R9+R15</f>
        <v>1670185</v>
      </c>
      <c r="U17" s="399"/>
      <c r="W17" s="400" t="s">
        <v>285</v>
      </c>
      <c r="X17" s="400"/>
      <c r="Y17" s="400"/>
      <c r="Z17" s="400"/>
      <c r="AA17" s="400"/>
      <c r="AB17" s="400"/>
      <c r="AC17" s="400"/>
      <c r="AJ17" s="59"/>
      <c r="AK17" s="59"/>
      <c r="AL17" s="59"/>
      <c r="AM17" s="5"/>
      <c r="AN17" s="5"/>
      <c r="AO17" s="5"/>
      <c r="AP17" s="5"/>
      <c r="AU17" s="400" t="s">
        <v>286</v>
      </c>
      <c r="AV17" s="400"/>
      <c r="AW17" s="400"/>
      <c r="AX17" s="400"/>
      <c r="AY17" s="400"/>
      <c r="AZ17" s="400"/>
      <c r="BA17" s="400"/>
    </row>
    <row r="18" spans="2:53" ht="16.5" thickBot="1" x14ac:dyDescent="0.3">
      <c r="F18" s="122"/>
      <c r="G18" s="19"/>
      <c r="H18" s="19"/>
      <c r="I18" s="19"/>
      <c r="J18" s="123"/>
      <c r="K18" s="19"/>
      <c r="L18" s="122"/>
      <c r="M18" s="19"/>
      <c r="N18" s="19"/>
      <c r="O18" s="19"/>
      <c r="P18" s="19"/>
      <c r="Q18" s="239"/>
      <c r="R18" s="123"/>
      <c r="U18" s="399"/>
      <c r="W18" s="401" t="s">
        <v>273</v>
      </c>
      <c r="X18" s="401"/>
      <c r="Y18" s="401"/>
      <c r="Z18" s="401"/>
      <c r="AA18" s="401"/>
      <c r="AB18" s="401"/>
      <c r="AC18" s="401"/>
      <c r="AE18" s="70" t="e">
        <f>+#REF!</f>
        <v>#REF!</v>
      </c>
      <c r="AF18" s="70" t="e">
        <f>+#REF!</f>
        <v>#REF!</v>
      </c>
      <c r="AG18" s="70" t="e">
        <f>+#REF!</f>
        <v>#REF!</v>
      </c>
      <c r="AH18" s="70" t="e">
        <f>+#REF!</f>
        <v>#REF!</v>
      </c>
      <c r="AJ18" s="104"/>
      <c r="AK18" s="104"/>
      <c r="AL18" s="59"/>
      <c r="AM18" s="96"/>
      <c r="AN18" s="94"/>
      <c r="AO18" s="94"/>
      <c r="AP18" s="101" t="s">
        <v>238</v>
      </c>
      <c r="AQ18" s="103">
        <f>+BudgetAssump!$K$23+BudgetAssump!$K$24</f>
        <v>0.22850000000000001</v>
      </c>
      <c r="AR18" s="90"/>
      <c r="AS18" s="98" t="s">
        <v>236</v>
      </c>
      <c r="AT18" s="98"/>
      <c r="AU18" s="401" t="s">
        <v>272</v>
      </c>
      <c r="AV18" s="401"/>
      <c r="AW18" s="401"/>
      <c r="AX18" s="401"/>
      <c r="AY18" s="401"/>
      <c r="AZ18" s="401"/>
      <c r="BA18" s="401"/>
    </row>
    <row r="19" spans="2:53" ht="15.75" thickBot="1" x14ac:dyDescent="0.3">
      <c r="B19" s="7" t="s">
        <v>39</v>
      </c>
      <c r="F19" s="122"/>
      <c r="G19" s="19"/>
      <c r="H19" s="19"/>
      <c r="I19" s="19"/>
      <c r="J19" s="123"/>
      <c r="K19" s="19"/>
      <c r="L19" s="122"/>
      <c r="M19" s="19"/>
      <c r="N19" s="19"/>
      <c r="O19" s="19"/>
      <c r="P19" s="19"/>
      <c r="Q19" s="239"/>
      <c r="R19" s="123"/>
      <c r="U19" s="399"/>
      <c r="V19" s="187" t="s">
        <v>233</v>
      </c>
      <c r="W19" s="188" t="s">
        <v>231</v>
      </c>
      <c r="X19" s="188" t="s">
        <v>231</v>
      </c>
      <c r="Y19" s="188" t="s">
        <v>231</v>
      </c>
      <c r="Z19" s="188" t="s">
        <v>231</v>
      </c>
      <c r="AA19" s="188" t="s">
        <v>231</v>
      </c>
      <c r="AB19" s="188" t="s">
        <v>231</v>
      </c>
      <c r="AC19" s="188" t="s">
        <v>231</v>
      </c>
      <c r="AD19" s="187" t="s">
        <v>233</v>
      </c>
      <c r="AE19" s="188" t="s">
        <v>232</v>
      </c>
      <c r="AF19" s="188" t="s">
        <v>232</v>
      </c>
      <c r="AG19" s="188" t="s">
        <v>232</v>
      </c>
      <c r="AH19" s="188" t="s">
        <v>232</v>
      </c>
      <c r="AJ19" s="59" t="s">
        <v>231</v>
      </c>
      <c r="AK19" s="59" t="s">
        <v>231</v>
      </c>
      <c r="AL19" s="59" t="s">
        <v>231</v>
      </c>
      <c r="AM19" s="96" t="s">
        <v>232</v>
      </c>
      <c r="AN19" s="96" t="s">
        <v>232</v>
      </c>
      <c r="AO19" s="96" t="s">
        <v>232</v>
      </c>
      <c r="AP19" s="90" t="s">
        <v>232</v>
      </c>
      <c r="AQ19" s="98" t="s">
        <v>232</v>
      </c>
      <c r="AR19" s="90" t="s">
        <v>232</v>
      </c>
      <c r="AS19" s="98" t="s">
        <v>232</v>
      </c>
      <c r="AT19" s="98"/>
      <c r="AU19" s="90" t="s">
        <v>231</v>
      </c>
      <c r="AV19" s="90" t="s">
        <v>231</v>
      </c>
      <c r="AW19" s="90" t="s">
        <v>231</v>
      </c>
      <c r="AX19" s="90" t="s">
        <v>231</v>
      </c>
      <c r="AY19" s="90" t="s">
        <v>231</v>
      </c>
      <c r="AZ19" s="90" t="s">
        <v>231</v>
      </c>
      <c r="BA19" s="59" t="s">
        <v>231</v>
      </c>
    </row>
    <row r="20" spans="2:53" ht="15.75" thickBot="1" x14ac:dyDescent="0.3">
      <c r="B20" s="87" t="s">
        <v>204</v>
      </c>
      <c r="C20" t="s">
        <v>60</v>
      </c>
      <c r="F20" s="122">
        <v>0</v>
      </c>
      <c r="G20" s="19"/>
      <c r="H20" s="19">
        <v>0</v>
      </c>
      <c r="I20" s="19"/>
      <c r="J20" s="123">
        <v>0</v>
      </c>
      <c r="K20" s="19"/>
      <c r="L20" s="122">
        <v>0</v>
      </c>
      <c r="M20" s="19"/>
      <c r="N20" s="19">
        <v>0</v>
      </c>
      <c r="O20" s="19"/>
      <c r="P20" s="19">
        <f t="shared" ref="P20:P28" si="2">R20-L20</f>
        <v>0</v>
      </c>
      <c r="Q20" s="239"/>
      <c r="R20" s="123">
        <v>0</v>
      </c>
      <c r="U20" s="399"/>
      <c r="W20" s="66" t="s">
        <v>144</v>
      </c>
      <c r="X20" s="69" t="s">
        <v>139</v>
      </c>
      <c r="Y20" s="67" t="s">
        <v>145</v>
      </c>
      <c r="Z20" s="69" t="s">
        <v>174</v>
      </c>
      <c r="AA20" s="67" t="s">
        <v>175</v>
      </c>
      <c r="AB20" s="69" t="s">
        <v>148</v>
      </c>
      <c r="AC20" s="68" t="s">
        <v>149</v>
      </c>
      <c r="AD20" s="68" t="s">
        <v>229</v>
      </c>
      <c r="AE20" s="69" t="e">
        <f>+#REF!</f>
        <v>#REF!</v>
      </c>
      <c r="AF20" s="69" t="e">
        <f>+#REF!</f>
        <v>#REF!</v>
      </c>
      <c r="AG20" s="69" t="e">
        <f>+#REF!</f>
        <v>#REF!</v>
      </c>
      <c r="AH20" s="69" t="e">
        <f>+#REF!</f>
        <v>#REF!</v>
      </c>
      <c r="AJ20" s="102" t="s">
        <v>138</v>
      </c>
      <c r="AK20" s="102" t="s">
        <v>150</v>
      </c>
      <c r="AL20" s="102" t="s">
        <v>235</v>
      </c>
      <c r="AM20" s="97" t="s">
        <v>140</v>
      </c>
      <c r="AN20" s="95" t="s">
        <v>141</v>
      </c>
      <c r="AO20" s="95" t="s">
        <v>142</v>
      </c>
      <c r="AP20" s="93" t="s">
        <v>143</v>
      </c>
      <c r="AQ20" s="99" t="s">
        <v>161</v>
      </c>
      <c r="AR20" s="93" t="s">
        <v>162</v>
      </c>
      <c r="AS20" s="99" t="s">
        <v>283</v>
      </c>
      <c r="AT20" s="99" t="s">
        <v>237</v>
      </c>
      <c r="AU20" s="58" t="s">
        <v>144</v>
      </c>
      <c r="AV20" s="58" t="s">
        <v>139</v>
      </c>
      <c r="AW20" s="58" t="s">
        <v>145</v>
      </c>
      <c r="AX20" s="58" t="s">
        <v>146</v>
      </c>
      <c r="AY20" s="58" t="s">
        <v>147</v>
      </c>
      <c r="AZ20" s="58" t="s">
        <v>148</v>
      </c>
      <c r="BA20" s="102" t="s">
        <v>149</v>
      </c>
    </row>
    <row r="21" spans="2:53" x14ac:dyDescent="0.25">
      <c r="B21" s="87" t="s">
        <v>196</v>
      </c>
      <c r="C21" t="s">
        <v>61</v>
      </c>
      <c r="F21" s="122">
        <v>53416</v>
      </c>
      <c r="G21" s="19"/>
      <c r="H21" s="19">
        <v>66755</v>
      </c>
      <c r="I21" s="19"/>
      <c r="J21" s="123">
        <v>66755</v>
      </c>
      <c r="K21" s="19"/>
      <c r="L21" s="122">
        <v>0</v>
      </c>
      <c r="M21" s="19"/>
      <c r="N21" s="19">
        <v>0</v>
      </c>
      <c r="O21" s="19"/>
      <c r="P21" s="19">
        <f t="shared" si="2"/>
        <v>0</v>
      </c>
      <c r="Q21" s="239"/>
      <c r="R21" s="123">
        <v>0</v>
      </c>
      <c r="U21" s="399"/>
      <c r="W21" s="59" t="s">
        <v>291</v>
      </c>
      <c r="X21" s="59" t="s">
        <v>292</v>
      </c>
      <c r="Y21" s="59" t="s">
        <v>277</v>
      </c>
      <c r="Z21" s="59" t="s">
        <v>293</v>
      </c>
      <c r="AA21" s="59" t="s">
        <v>294</v>
      </c>
      <c r="AB21" s="59" t="s">
        <v>276</v>
      </c>
      <c r="AC21" s="59" t="s">
        <v>278</v>
      </c>
      <c r="AD21" s="172" t="s">
        <v>308</v>
      </c>
      <c r="AE21" s="90"/>
      <c r="AF21" s="90"/>
      <c r="AG21" s="90"/>
      <c r="AH21" s="91"/>
      <c r="AJ21" s="59"/>
      <c r="AK21" s="59"/>
      <c r="AL21" s="59"/>
      <c r="AM21" s="96"/>
      <c r="AN21" s="94"/>
      <c r="AO21" s="94"/>
      <c r="AP21" s="90"/>
      <c r="AQ21" s="98">
        <f>+AP21*AQ$18</f>
        <v>0</v>
      </c>
      <c r="AR21" s="90"/>
      <c r="AS21" s="98">
        <f>AQ21+AR21</f>
        <v>0</v>
      </c>
      <c r="AT21" s="98">
        <f>+AS21+AP21</f>
        <v>0</v>
      </c>
      <c r="AU21" s="59"/>
      <c r="AV21" s="59"/>
      <c r="AW21" s="59"/>
      <c r="AX21" s="59"/>
      <c r="AY21" s="59"/>
      <c r="AZ21" s="59"/>
      <c r="BA21" s="59"/>
    </row>
    <row r="22" spans="2:53" ht="15.75" thickBot="1" x14ac:dyDescent="0.3">
      <c r="B22" s="87" t="s">
        <v>197</v>
      </c>
      <c r="C22" t="s">
        <v>62</v>
      </c>
      <c r="F22" s="122">
        <v>44789</v>
      </c>
      <c r="G22" s="19"/>
      <c r="H22" s="19">
        <v>12839</v>
      </c>
      <c r="I22" s="19"/>
      <c r="J22" s="123">
        <v>12839</v>
      </c>
      <c r="K22" s="19"/>
      <c r="L22" s="122">
        <v>0</v>
      </c>
      <c r="M22" s="19"/>
      <c r="N22" s="19">
        <f>562995+32532+107686</f>
        <v>703213</v>
      </c>
      <c r="O22" s="19"/>
      <c r="P22" s="19">
        <f t="shared" si="2"/>
        <v>630826</v>
      </c>
      <c r="Q22" s="239"/>
      <c r="R22" s="123">
        <f>1380826-750000</f>
        <v>630826</v>
      </c>
      <c r="U22" s="399"/>
      <c r="W22" s="59" t="s">
        <v>291</v>
      </c>
      <c r="X22" s="59" t="s">
        <v>292</v>
      </c>
      <c r="Y22" s="59" t="s">
        <v>277</v>
      </c>
      <c r="Z22" s="59" t="s">
        <v>305</v>
      </c>
      <c r="AA22" s="59" t="s">
        <v>306</v>
      </c>
      <c r="AB22" s="59" t="s">
        <v>276</v>
      </c>
      <c r="AC22" s="59" t="s">
        <v>278</v>
      </c>
      <c r="AD22" s="172" t="s">
        <v>307</v>
      </c>
      <c r="AE22" s="90"/>
      <c r="AF22" s="90"/>
      <c r="AG22" s="90"/>
      <c r="AH22" s="91"/>
      <c r="AJ22" s="59"/>
      <c r="AK22" s="59"/>
      <c r="AL22" s="59"/>
      <c r="AM22" s="96"/>
      <c r="AN22" s="94"/>
      <c r="AO22" s="94"/>
      <c r="AP22" s="90"/>
      <c r="AQ22" s="98">
        <f t="shared" ref="AQ22:AQ27" si="3">+AP22*AQ$18</f>
        <v>0</v>
      </c>
      <c r="AR22" s="90"/>
      <c r="AS22" s="98">
        <f t="shared" ref="AS22:AS27" si="4">AQ22+AR22</f>
        <v>0</v>
      </c>
      <c r="AT22" s="98">
        <f t="shared" ref="AT22:AT27" si="5">+AS22+AP22</f>
        <v>0</v>
      </c>
      <c r="AU22" s="59"/>
      <c r="AV22" s="59"/>
      <c r="AW22" s="59"/>
      <c r="AX22" s="59"/>
      <c r="AY22" s="59"/>
      <c r="AZ22" s="59"/>
      <c r="BA22" s="59"/>
    </row>
    <row r="23" spans="2:53" ht="15.75" thickBot="1" x14ac:dyDescent="0.3">
      <c r="B23" s="87" t="s">
        <v>198</v>
      </c>
      <c r="C23" t="s">
        <v>63</v>
      </c>
      <c r="F23" s="122">
        <v>0</v>
      </c>
      <c r="G23" s="19"/>
      <c r="H23" s="19">
        <v>0</v>
      </c>
      <c r="I23" s="19"/>
      <c r="J23" s="123">
        <v>0</v>
      </c>
      <c r="K23" s="19"/>
      <c r="L23" s="122">
        <v>0</v>
      </c>
      <c r="M23" s="19"/>
      <c r="N23" s="19">
        <v>0</v>
      </c>
      <c r="O23" s="19"/>
      <c r="P23" s="19">
        <f t="shared" si="2"/>
        <v>0</v>
      </c>
      <c r="Q23" s="239"/>
      <c r="R23" s="123">
        <v>0</v>
      </c>
      <c r="U23" s="399"/>
      <c r="W23" s="59" t="s">
        <v>291</v>
      </c>
      <c r="X23" s="59" t="s">
        <v>292</v>
      </c>
      <c r="Y23" s="59" t="s">
        <v>277</v>
      </c>
      <c r="Z23" s="59" t="s">
        <v>295</v>
      </c>
      <c r="AA23" s="59" t="s">
        <v>296</v>
      </c>
      <c r="AB23" s="59" t="s">
        <v>276</v>
      </c>
      <c r="AC23" s="59" t="s">
        <v>278</v>
      </c>
      <c r="AD23" s="173" t="s">
        <v>297</v>
      </c>
      <c r="AE23" s="90"/>
      <c r="AF23" s="90"/>
      <c r="AG23" s="90"/>
      <c r="AH23" s="91"/>
      <c r="AJ23" s="59"/>
      <c r="AK23" s="59"/>
      <c r="AL23" s="59"/>
      <c r="AM23" s="96"/>
      <c r="AN23" s="94"/>
      <c r="AO23" s="94"/>
      <c r="AP23" s="90"/>
      <c r="AQ23" s="98">
        <f t="shared" si="3"/>
        <v>0</v>
      </c>
      <c r="AR23" s="90"/>
      <c r="AS23" s="98">
        <f t="shared" si="4"/>
        <v>0</v>
      </c>
      <c r="AT23" s="98">
        <f t="shared" si="5"/>
        <v>0</v>
      </c>
      <c r="AU23" s="59"/>
      <c r="AV23" s="59"/>
      <c r="AW23" s="59"/>
      <c r="AX23" s="59"/>
      <c r="AY23" s="59"/>
      <c r="AZ23" s="59"/>
      <c r="BA23" s="59"/>
    </row>
    <row r="24" spans="2:53" ht="15.75" thickBot="1" x14ac:dyDescent="0.3">
      <c r="B24" s="87" t="s">
        <v>199</v>
      </c>
      <c r="C24" t="s">
        <v>49</v>
      </c>
      <c r="F24" s="122">
        <v>572338</v>
      </c>
      <c r="G24" s="19"/>
      <c r="H24" s="19">
        <v>765719</v>
      </c>
      <c r="I24" s="19"/>
      <c r="J24" s="123">
        <v>765719</v>
      </c>
      <c r="K24" s="19"/>
      <c r="L24" s="122">
        <v>703213</v>
      </c>
      <c r="M24" s="19"/>
      <c r="N24" s="19">
        <f>+AG26</f>
        <v>0</v>
      </c>
      <c r="O24" s="19"/>
      <c r="P24" s="19">
        <f t="shared" si="2"/>
        <v>-703213</v>
      </c>
      <c r="Q24" s="239"/>
      <c r="R24" s="123">
        <v>0</v>
      </c>
      <c r="U24" s="399"/>
      <c r="W24" s="59" t="s">
        <v>291</v>
      </c>
      <c r="X24" s="59" t="s">
        <v>292</v>
      </c>
      <c r="Y24" s="59" t="s">
        <v>277</v>
      </c>
      <c r="Z24" s="59" t="s">
        <v>295</v>
      </c>
      <c r="AA24" s="59" t="s">
        <v>296</v>
      </c>
      <c r="AB24" s="59" t="s">
        <v>276</v>
      </c>
      <c r="AC24" s="59" t="s">
        <v>278</v>
      </c>
      <c r="AD24" s="173" t="s">
        <v>298</v>
      </c>
      <c r="AE24" s="90"/>
      <c r="AF24" s="90"/>
      <c r="AG24" s="90"/>
      <c r="AH24" s="91"/>
      <c r="AJ24" s="59"/>
      <c r="AK24" s="59"/>
      <c r="AL24" s="59"/>
      <c r="AM24" s="96"/>
      <c r="AN24" s="94"/>
      <c r="AO24" s="94"/>
      <c r="AP24" s="90"/>
      <c r="AQ24" s="98">
        <f t="shared" si="3"/>
        <v>0</v>
      </c>
      <c r="AR24" s="90"/>
      <c r="AS24" s="98">
        <f t="shared" si="4"/>
        <v>0</v>
      </c>
      <c r="AT24" s="98">
        <f t="shared" si="5"/>
        <v>0</v>
      </c>
      <c r="AU24" s="59"/>
      <c r="AV24" s="59"/>
      <c r="AW24" s="59"/>
      <c r="AX24" s="59"/>
      <c r="AY24" s="59"/>
      <c r="AZ24" s="59"/>
      <c r="BA24" s="59"/>
    </row>
    <row r="25" spans="2:53" ht="15" customHeight="1" thickBot="1" x14ac:dyDescent="0.3">
      <c r="B25" s="87" t="s">
        <v>200</v>
      </c>
      <c r="C25" t="s">
        <v>64</v>
      </c>
      <c r="F25" s="122">
        <v>0</v>
      </c>
      <c r="G25" s="19"/>
      <c r="H25" s="19">
        <v>0</v>
      </c>
      <c r="I25" s="19"/>
      <c r="J25" s="123">
        <v>0</v>
      </c>
      <c r="K25" s="19"/>
      <c r="L25" s="122">
        <v>0</v>
      </c>
      <c r="M25" s="19"/>
      <c r="N25" s="19">
        <v>0</v>
      </c>
      <c r="O25" s="19"/>
      <c r="P25" s="19">
        <f t="shared" si="2"/>
        <v>0</v>
      </c>
      <c r="Q25" s="239"/>
      <c r="R25" s="123">
        <v>0</v>
      </c>
      <c r="U25" s="399"/>
      <c r="W25" s="59" t="s">
        <v>291</v>
      </c>
      <c r="X25" s="59" t="s">
        <v>292</v>
      </c>
      <c r="Y25" s="59" t="s">
        <v>277</v>
      </c>
      <c r="Z25" s="59" t="s">
        <v>305</v>
      </c>
      <c r="AA25" s="59" t="s">
        <v>296</v>
      </c>
      <c r="AB25" s="59" t="s">
        <v>276</v>
      </c>
      <c r="AC25" s="59" t="s">
        <v>278</v>
      </c>
      <c r="AD25" s="173" t="s">
        <v>309</v>
      </c>
      <c r="AE25" s="90"/>
      <c r="AF25" s="90"/>
      <c r="AG25" s="90"/>
      <c r="AH25" s="91"/>
      <c r="AJ25" s="59"/>
      <c r="AK25" s="59"/>
      <c r="AL25" s="59"/>
      <c r="AM25" s="96"/>
      <c r="AN25" s="94"/>
      <c r="AO25" s="94"/>
      <c r="AP25" s="90"/>
      <c r="AQ25" s="98">
        <f t="shared" si="3"/>
        <v>0</v>
      </c>
      <c r="AR25" s="90"/>
      <c r="AS25" s="98">
        <f t="shared" si="4"/>
        <v>0</v>
      </c>
      <c r="AT25" s="98">
        <f t="shared" si="5"/>
        <v>0</v>
      </c>
      <c r="AU25" s="59"/>
      <c r="AV25" s="59"/>
      <c r="AW25" s="59"/>
      <c r="AX25" s="59"/>
      <c r="AY25" s="59"/>
      <c r="AZ25" s="59"/>
      <c r="BA25" s="59"/>
    </row>
    <row r="26" spans="2:53" x14ac:dyDescent="0.25">
      <c r="B26" s="87" t="s">
        <v>201</v>
      </c>
      <c r="C26" t="s">
        <v>65</v>
      </c>
      <c r="F26" s="122">
        <v>0</v>
      </c>
      <c r="G26" s="19"/>
      <c r="H26" s="19">
        <v>0</v>
      </c>
      <c r="I26" s="19"/>
      <c r="J26" s="123">
        <v>0</v>
      </c>
      <c r="K26" s="19"/>
      <c r="L26" s="122">
        <v>750000</v>
      </c>
      <c r="M26" s="19"/>
      <c r="N26" s="19">
        <f>750000</f>
        <v>750000</v>
      </c>
      <c r="O26" s="19"/>
      <c r="P26" s="19">
        <f t="shared" si="2"/>
        <v>0</v>
      </c>
      <c r="Q26" s="239"/>
      <c r="R26" s="123">
        <v>750000</v>
      </c>
      <c r="U26" s="399"/>
      <c r="W26" s="59"/>
      <c r="X26" s="59"/>
      <c r="Y26" s="59"/>
      <c r="Z26" s="59"/>
      <c r="AA26" s="59"/>
      <c r="AB26" s="59"/>
      <c r="AC26" s="59"/>
      <c r="AD26" s="175" t="s">
        <v>304</v>
      </c>
      <c r="AE26" s="176">
        <f>SUM(AE21:AE25)</f>
        <v>0</v>
      </c>
      <c r="AF26" s="176">
        <f>SUM(AF21:AF25)</f>
        <v>0</v>
      </c>
      <c r="AG26" s="176">
        <f>SUM(AG21:AG25)</f>
        <v>0</v>
      </c>
      <c r="AH26" s="176">
        <f>SUM(AH21:AH25)</f>
        <v>0</v>
      </c>
      <c r="AJ26" s="59"/>
      <c r="AK26" s="59"/>
      <c r="AL26" s="59"/>
      <c r="AM26" s="96"/>
      <c r="AN26" s="94"/>
      <c r="AO26" s="94"/>
      <c r="AP26" s="90"/>
      <c r="AQ26" s="98">
        <f t="shared" si="3"/>
        <v>0</v>
      </c>
      <c r="AR26" s="90"/>
      <c r="AS26" s="98">
        <f t="shared" si="4"/>
        <v>0</v>
      </c>
      <c r="AT26" s="98">
        <f t="shared" si="5"/>
        <v>0</v>
      </c>
      <c r="AU26" s="59"/>
      <c r="AV26" s="59"/>
      <c r="AW26" s="59"/>
      <c r="AX26" s="59"/>
      <c r="AY26" s="59"/>
      <c r="AZ26" s="59"/>
      <c r="BA26" s="59"/>
    </row>
    <row r="27" spans="2:53" x14ac:dyDescent="0.25">
      <c r="B27" s="87" t="s">
        <v>202</v>
      </c>
      <c r="C27" t="s">
        <v>66</v>
      </c>
      <c r="F27" s="122">
        <v>0</v>
      </c>
      <c r="G27" s="19"/>
      <c r="H27" s="19">
        <v>0</v>
      </c>
      <c r="I27" s="19"/>
      <c r="J27" s="123">
        <v>0</v>
      </c>
      <c r="K27" s="19"/>
      <c r="L27" s="122">
        <v>0</v>
      </c>
      <c r="M27" s="19"/>
      <c r="N27" s="19">
        <v>0</v>
      </c>
      <c r="O27" s="19"/>
      <c r="P27" s="19">
        <f t="shared" si="2"/>
        <v>0</v>
      </c>
      <c r="Q27" s="239"/>
      <c r="R27" s="123">
        <v>0</v>
      </c>
      <c r="U27" s="399"/>
      <c r="W27" s="59"/>
      <c r="X27" s="59"/>
      <c r="Y27" s="59"/>
      <c r="Z27" s="59"/>
      <c r="AA27" s="59"/>
      <c r="AB27" s="59"/>
      <c r="AC27" s="59"/>
      <c r="AD27" s="59"/>
      <c r="AE27" s="90"/>
      <c r="AF27" s="90"/>
      <c r="AG27" s="90"/>
      <c r="AH27" s="91"/>
      <c r="AJ27" s="59"/>
      <c r="AK27" s="59"/>
      <c r="AL27" s="59"/>
      <c r="AM27" s="96"/>
      <c r="AN27" s="94"/>
      <c r="AO27" s="94"/>
      <c r="AP27" s="90"/>
      <c r="AQ27" s="98">
        <f t="shared" si="3"/>
        <v>0</v>
      </c>
      <c r="AR27" s="90"/>
      <c r="AS27" s="98">
        <f t="shared" si="4"/>
        <v>0</v>
      </c>
      <c r="AT27" s="98">
        <f t="shared" si="5"/>
        <v>0</v>
      </c>
      <c r="AU27" s="59"/>
      <c r="AV27" s="59"/>
      <c r="AW27" s="59"/>
      <c r="AX27" s="59"/>
      <c r="AY27" s="59"/>
      <c r="AZ27" s="59"/>
      <c r="BA27" s="59"/>
    </row>
    <row r="28" spans="2:53" x14ac:dyDescent="0.25">
      <c r="B28" s="87" t="s">
        <v>203</v>
      </c>
      <c r="C28" t="s">
        <v>67</v>
      </c>
      <c r="F28" s="122">
        <v>0</v>
      </c>
      <c r="G28" s="19"/>
      <c r="H28" s="19">
        <v>0</v>
      </c>
      <c r="I28" s="19"/>
      <c r="J28" s="123">
        <v>0</v>
      </c>
      <c r="K28" s="19"/>
      <c r="L28" s="122">
        <v>0</v>
      </c>
      <c r="M28" s="19"/>
      <c r="N28" s="19">
        <v>0</v>
      </c>
      <c r="O28" s="19"/>
      <c r="P28" s="19">
        <f t="shared" si="2"/>
        <v>0</v>
      </c>
      <c r="Q28" s="239"/>
      <c r="R28" s="123">
        <v>0</v>
      </c>
      <c r="U28" s="399"/>
      <c r="W28" s="59"/>
      <c r="X28" s="59"/>
      <c r="Y28" s="59"/>
      <c r="Z28" s="59"/>
      <c r="AA28" s="59"/>
      <c r="AB28" s="59"/>
      <c r="AC28" s="59"/>
      <c r="AD28" s="59"/>
      <c r="AE28" s="90"/>
      <c r="AF28" s="90"/>
      <c r="AG28" s="90"/>
      <c r="AH28" s="91"/>
      <c r="AL28" s="7" t="s">
        <v>239</v>
      </c>
      <c r="AM28" s="113">
        <f>SUM(AM21:AM27)</f>
        <v>0</v>
      </c>
      <c r="AN28" s="114"/>
      <c r="AO28" s="114"/>
      <c r="AP28" s="115">
        <f>SUM(AP21:AP27)</f>
        <v>0</v>
      </c>
      <c r="AQ28" s="115">
        <f>SUM(AQ21:AQ27)</f>
        <v>0</v>
      </c>
      <c r="AR28" s="115">
        <f>SUM(AR21:AR27)</f>
        <v>0</v>
      </c>
      <c r="AS28" s="115">
        <f>SUM(AS21:AS27)</f>
        <v>0</v>
      </c>
      <c r="AT28" s="115">
        <f>SUM(AT21:AT27)</f>
        <v>0</v>
      </c>
    </row>
    <row r="29" spans="2:53" x14ac:dyDescent="0.25">
      <c r="B29" s="7" t="s">
        <v>50</v>
      </c>
      <c r="F29" s="124">
        <f>SUM(F19:F28)</f>
        <v>670543</v>
      </c>
      <c r="G29" s="126"/>
      <c r="H29" s="126">
        <f>SUM(H19:H28)</f>
        <v>845313</v>
      </c>
      <c r="I29" s="126"/>
      <c r="J29" s="127">
        <f>SUM(J19:J28)</f>
        <v>845313</v>
      </c>
      <c r="K29" s="19"/>
      <c r="L29" s="124">
        <f>SUM(L19:L28)</f>
        <v>1453213</v>
      </c>
      <c r="M29" s="126"/>
      <c r="N29" s="126">
        <f>SUM(N19:N28)</f>
        <v>1453213</v>
      </c>
      <c r="O29" s="126"/>
      <c r="P29" s="126">
        <f>SUM(P19:P28)</f>
        <v>-72387</v>
      </c>
      <c r="Q29" s="239"/>
      <c r="R29" s="127">
        <f>SUM(R19:R28)</f>
        <v>1380826</v>
      </c>
      <c r="U29" s="399"/>
      <c r="W29" s="59"/>
      <c r="X29" s="59"/>
      <c r="Y29" s="59"/>
      <c r="Z29" s="59"/>
      <c r="AA29" s="59"/>
      <c r="AB29" s="59"/>
      <c r="AC29" s="59"/>
      <c r="AD29" s="59"/>
      <c r="AE29" s="90"/>
      <c r="AF29" s="90"/>
      <c r="AG29" s="90"/>
      <c r="AH29" s="91"/>
    </row>
    <row r="30" spans="2:53" x14ac:dyDescent="0.25">
      <c r="F30" s="122"/>
      <c r="G30" s="19"/>
      <c r="H30" s="19"/>
      <c r="I30" s="19"/>
      <c r="J30" s="123"/>
      <c r="K30" s="19"/>
      <c r="L30" s="122"/>
      <c r="M30" s="19"/>
      <c r="N30" s="19"/>
      <c r="O30" s="19"/>
      <c r="P30" s="19"/>
      <c r="Q30" s="239"/>
      <c r="R30" s="123"/>
      <c r="U30" s="399"/>
      <c r="W30" s="59"/>
      <c r="X30" s="59"/>
      <c r="Y30" s="59"/>
      <c r="Z30" s="59"/>
      <c r="AA30" s="59"/>
      <c r="AB30" s="59"/>
      <c r="AC30" s="59"/>
      <c r="AD30" s="59"/>
      <c r="AE30" s="90"/>
      <c r="AF30" s="90"/>
      <c r="AG30" s="90"/>
      <c r="AH30" s="91"/>
    </row>
    <row r="31" spans="2:53" ht="15.75" thickBot="1" x14ac:dyDescent="0.3">
      <c r="D31" s="53" t="s">
        <v>193</v>
      </c>
      <c r="F31" s="134">
        <f>+F15-F29</f>
        <v>-27240</v>
      </c>
      <c r="G31" s="135"/>
      <c r="H31" s="135">
        <f>+H15-H29</f>
        <v>493</v>
      </c>
      <c r="I31" s="135"/>
      <c r="J31" s="136">
        <f>+J15-J29</f>
        <v>493</v>
      </c>
      <c r="K31" s="135"/>
      <c r="L31" s="134">
        <f>+L15-L29</f>
        <v>-58639</v>
      </c>
      <c r="M31" s="135"/>
      <c r="N31" s="135">
        <f>+N15-N29</f>
        <v>-58639</v>
      </c>
      <c r="O31" s="135"/>
      <c r="P31" s="135">
        <f>+P15-P29</f>
        <v>58639</v>
      </c>
      <c r="Q31" s="243"/>
      <c r="R31" s="136">
        <f>+R15-R29</f>
        <v>0</v>
      </c>
      <c r="U31" s="399"/>
      <c r="W31" s="59"/>
      <c r="X31" s="59"/>
      <c r="Y31" s="59"/>
      <c r="Z31" s="59"/>
      <c r="AA31" s="59"/>
      <c r="AB31" s="59"/>
      <c r="AC31" s="59"/>
      <c r="AD31" s="59"/>
      <c r="AE31" s="90"/>
      <c r="AF31" s="90"/>
      <c r="AG31" s="90"/>
      <c r="AH31" s="91"/>
    </row>
    <row r="32" spans="2:53" ht="14.1" customHeight="1" thickTop="1" x14ac:dyDescent="0.25">
      <c r="F32" s="122"/>
      <c r="G32" s="19"/>
      <c r="H32" s="19"/>
      <c r="I32" s="19"/>
      <c r="J32" s="123"/>
      <c r="K32" s="19"/>
      <c r="L32" s="122"/>
      <c r="M32" s="19"/>
      <c r="N32" s="19"/>
      <c r="O32" s="19"/>
      <c r="P32" s="19"/>
      <c r="Q32" s="239"/>
      <c r="R32" s="123"/>
      <c r="U32" s="399"/>
      <c r="W32" s="59"/>
      <c r="X32" s="59"/>
      <c r="Y32" s="59"/>
      <c r="Z32" s="59"/>
      <c r="AA32" s="59"/>
      <c r="AB32" s="59"/>
      <c r="AC32" s="59"/>
      <c r="AD32" s="59"/>
      <c r="AE32" s="90"/>
      <c r="AF32" s="90"/>
      <c r="AG32" s="90"/>
      <c r="AH32" s="91"/>
    </row>
    <row r="33" spans="2:34" ht="15.75" thickBot="1" x14ac:dyDescent="0.3">
      <c r="B33" s="7" t="s">
        <v>53</v>
      </c>
      <c r="F33" s="122"/>
      <c r="G33" s="19"/>
      <c r="H33" s="19"/>
      <c r="I33" s="19"/>
      <c r="J33" s="123"/>
      <c r="K33" s="19"/>
      <c r="L33" s="174"/>
      <c r="M33" s="19"/>
      <c r="N33" s="19"/>
      <c r="O33" s="19"/>
      <c r="P33" s="19"/>
      <c r="Q33" s="239"/>
      <c r="R33" s="123"/>
      <c r="U33" s="399"/>
      <c r="W33" s="186" t="s">
        <v>301</v>
      </c>
      <c r="X33" s="186"/>
      <c r="Y33" s="186"/>
      <c r="Z33" s="177"/>
      <c r="AA33" s="59"/>
      <c r="AB33" s="59"/>
      <c r="AC33" s="59"/>
      <c r="AD33" s="59"/>
      <c r="AE33" s="90"/>
      <c r="AF33" s="90"/>
      <c r="AG33" s="90"/>
      <c r="AH33" s="91"/>
    </row>
    <row r="34" spans="2:34" ht="15.75" thickBot="1" x14ac:dyDescent="0.3">
      <c r="C34" t="s">
        <v>211</v>
      </c>
      <c r="F34" s="122">
        <f>F9+F31</f>
        <v>347482</v>
      </c>
      <c r="G34" s="19"/>
      <c r="H34" s="19">
        <v>347975</v>
      </c>
      <c r="I34" s="19"/>
      <c r="J34" s="123">
        <f>J9+J31</f>
        <v>347975</v>
      </c>
      <c r="K34" s="19"/>
      <c r="L34" s="122">
        <f>+L9+L15-L29</f>
        <v>288843</v>
      </c>
      <c r="M34" s="19"/>
      <c r="N34" s="19">
        <f>+N9+N15-N29</f>
        <v>289359</v>
      </c>
      <c r="O34" s="19"/>
      <c r="P34" s="19">
        <f t="shared" ref="P34" si="6">R34-L34</f>
        <v>516</v>
      </c>
      <c r="Q34" s="239"/>
      <c r="R34" s="123">
        <f>+R9+R15-R29</f>
        <v>289359</v>
      </c>
      <c r="U34" s="399"/>
      <c r="W34" s="112" t="s">
        <v>291</v>
      </c>
      <c r="X34" s="112" t="s">
        <v>292</v>
      </c>
      <c r="Y34" s="112" t="s">
        <v>277</v>
      </c>
      <c r="Z34" s="112" t="s">
        <v>302</v>
      </c>
      <c r="AA34" s="112" t="s">
        <v>127</v>
      </c>
      <c r="AB34" s="112" t="s">
        <v>276</v>
      </c>
      <c r="AC34" s="112" t="s">
        <v>278</v>
      </c>
      <c r="AD34" s="182" t="s">
        <v>264</v>
      </c>
      <c r="AE34" s="402" t="s">
        <v>303</v>
      </c>
      <c r="AF34" s="403"/>
      <c r="AG34" s="403"/>
      <c r="AH34" s="403"/>
    </row>
    <row r="35" spans="2:34" ht="15.75" thickBot="1" x14ac:dyDescent="0.3">
      <c r="B35" s="7" t="s">
        <v>137</v>
      </c>
      <c r="F35" s="144">
        <f>SUM(F33:F34)</f>
        <v>347482</v>
      </c>
      <c r="G35" s="145"/>
      <c r="H35" s="145">
        <f>SUM(H33:H34)</f>
        <v>347975</v>
      </c>
      <c r="I35" s="145"/>
      <c r="J35" s="139">
        <f>SUM(J33:J34)</f>
        <v>347975</v>
      </c>
      <c r="K35" s="19"/>
      <c r="L35" s="144">
        <f>SUM(L33:L34)</f>
        <v>288843</v>
      </c>
      <c r="M35" s="145"/>
      <c r="N35" s="145">
        <f>SUM(N33:N34)</f>
        <v>289359</v>
      </c>
      <c r="O35" s="145"/>
      <c r="P35" s="145">
        <f>SUM(P33:P34)</f>
        <v>516</v>
      </c>
      <c r="Q35" s="239"/>
      <c r="R35" s="139">
        <f>SUM(R33:R34)</f>
        <v>289359</v>
      </c>
      <c r="U35" s="399"/>
      <c r="AE35" s="91"/>
      <c r="AF35" s="91"/>
      <c r="AG35" s="91"/>
      <c r="AH35" s="91"/>
    </row>
    <row r="36" spans="2:34" ht="15.75" thickBot="1" x14ac:dyDescent="0.3">
      <c r="F36" s="19"/>
      <c r="G36" s="19"/>
      <c r="H36" s="19"/>
      <c r="I36" s="19"/>
      <c r="J36" s="53"/>
      <c r="K36" s="19"/>
      <c r="L36" s="19"/>
      <c r="M36" s="19"/>
      <c r="N36" s="19"/>
      <c r="O36" s="19"/>
      <c r="P36" s="19"/>
      <c r="Q36" s="19"/>
      <c r="R36" s="53"/>
      <c r="U36" s="399"/>
    </row>
    <row r="37" spans="2:34" ht="15.75" thickBot="1" x14ac:dyDescent="0.3">
      <c r="F37" s="105"/>
      <c r="G37" s="105"/>
      <c r="H37" s="105"/>
      <c r="I37" s="105"/>
      <c r="J37" s="53" t="s">
        <v>268</v>
      </c>
      <c r="K37" s="105"/>
      <c r="L37" s="143">
        <f>+L35+L29</f>
        <v>1742056</v>
      </c>
      <c r="M37" s="88"/>
      <c r="N37" s="88"/>
      <c r="O37" s="88"/>
      <c r="P37" s="88"/>
      <c r="Q37" s="105"/>
      <c r="R37" s="143">
        <f>+R35+R29</f>
        <v>1670185</v>
      </c>
      <c r="U37" s="399"/>
    </row>
    <row r="38" spans="2:34" x14ac:dyDescent="0.25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U38" s="399"/>
    </row>
    <row r="39" spans="2:34" x14ac:dyDescent="0.25">
      <c r="U39" s="399"/>
    </row>
    <row r="40" spans="2:34" x14ac:dyDescent="0.25">
      <c r="U40" s="399"/>
    </row>
    <row r="41" spans="2:34" x14ac:dyDescent="0.25">
      <c r="U41" s="399"/>
    </row>
    <row r="42" spans="2:34" x14ac:dyDescent="0.25">
      <c r="U42" s="399"/>
    </row>
  </sheetData>
  <mergeCells count="6">
    <mergeCell ref="U1:U42"/>
    <mergeCell ref="W17:AC17"/>
    <mergeCell ref="AU17:BA17"/>
    <mergeCell ref="W18:AC18"/>
    <mergeCell ref="AU18:BA18"/>
    <mergeCell ref="AE34:AH34"/>
  </mergeCells>
  <pageMargins left="0.27" right="0.25" top="0.43" bottom="0.4" header="0.3" footer="0.17"/>
  <pageSetup scale="72" orientation="portrait" r:id="rId1"/>
  <headerFooter>
    <oddFooter>&amp;L&amp;D &amp;F&amp;C21&amp;R&amp;A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C8F3D-605D-4C38-8D21-549C150E203D}">
  <sheetPr codeName="Sheet28">
    <pageSetUpPr fitToPage="1"/>
  </sheetPr>
  <dimension ref="A1:BA49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9.4257812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2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7.5703125" hidden="1" customWidth="1"/>
    <col min="31" max="31" width="18" hidden="1" customWidth="1"/>
    <col min="32" max="32" width="19.42578125" hidden="1" customWidth="1"/>
    <col min="33" max="33" width="17.42578125" hidden="1" customWidth="1"/>
    <col min="34" max="34" width="16.5703125" hidden="1" customWidth="1"/>
    <col min="35" max="36" width="0" hidden="1" customWidth="1"/>
    <col min="37" max="37" width="13.85546875" hidden="1" customWidth="1"/>
    <col min="38" max="42" width="0" hidden="1" customWidth="1"/>
    <col min="43" max="43" width="12.42578125" hidden="1" customWidth="1"/>
    <col min="44" max="44" width="10" hidden="1" customWidth="1"/>
    <col min="45" max="45" width="20.42578125" hidden="1" customWidth="1"/>
    <col min="46" max="46" width="18.140625" hidden="1" customWidth="1"/>
    <col min="47" max="52" width="0" hidden="1" customWidth="1"/>
    <col min="53" max="53" width="12.85546875" hidden="1" customWidth="1"/>
    <col min="54" max="54" width="0" hidden="1" customWidth="1"/>
  </cols>
  <sheetData>
    <row r="1" spans="1:34" x14ac:dyDescent="0.25">
      <c r="A1" s="3" t="str">
        <f>'InsRsv 18'!A1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34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  <c r="W2" s="7" t="s">
        <v>377</v>
      </c>
    </row>
    <row r="3" spans="1:34" ht="16.5" thickBot="1" x14ac:dyDescent="0.3">
      <c r="A3" s="4" t="s">
        <v>424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196" t="s">
        <v>287</v>
      </c>
      <c r="X3" s="196"/>
      <c r="Y3" s="196"/>
      <c r="Z3" s="196"/>
      <c r="AA3" s="196"/>
      <c r="AB3" s="196"/>
      <c r="AC3" s="196"/>
    </row>
    <row r="4" spans="1:34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197"/>
      <c r="X4" s="197"/>
      <c r="Y4" s="197"/>
      <c r="Z4" s="197"/>
      <c r="AA4" s="197"/>
      <c r="AB4" s="197"/>
      <c r="AC4" s="197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</row>
    <row r="5" spans="1:34" ht="15.7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7" t="str">
        <f>'GF Summary 10'!P6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</row>
    <row r="6" spans="1:34" ht="15.75" thickBot="1" x14ac:dyDescent="0.3">
      <c r="F6" s="223" t="str">
        <f>'GF Summary 10'!$F$7</f>
        <v>FY 22-23</v>
      </c>
      <c r="G6" s="225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'GF Summary 10'!P7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69" t="e">
        <f>+#REF!</f>
        <v>#REF!</v>
      </c>
      <c r="AF6" s="69" t="e">
        <f>+#REF!</f>
        <v>#REF!</v>
      </c>
      <c r="AG6" s="69" t="e">
        <f>+#REF!</f>
        <v>#REF!</v>
      </c>
      <c r="AH6" s="69" t="e">
        <f>+#REF!</f>
        <v>#REF!</v>
      </c>
    </row>
    <row r="7" spans="1:34" x14ac:dyDescent="0.25">
      <c r="B7" s="7" t="s">
        <v>29</v>
      </c>
      <c r="F7" s="129"/>
      <c r="G7" s="128"/>
      <c r="H7" s="128"/>
      <c r="I7" s="128"/>
      <c r="J7" s="130"/>
      <c r="K7" s="19"/>
      <c r="L7" s="129"/>
      <c r="M7" s="128"/>
      <c r="N7" s="128"/>
      <c r="O7" s="128"/>
      <c r="P7" s="128"/>
      <c r="Q7" s="239"/>
      <c r="R7" s="130"/>
      <c r="S7" s="5"/>
      <c r="U7" s="399"/>
      <c r="W7" s="59" t="s">
        <v>310</v>
      </c>
      <c r="X7" s="59" t="s">
        <v>276</v>
      </c>
      <c r="Y7" s="59" t="s">
        <v>277</v>
      </c>
      <c r="Z7" s="59" t="s">
        <v>278</v>
      </c>
      <c r="AA7" s="59" t="s">
        <v>313</v>
      </c>
      <c r="AB7" s="59" t="s">
        <v>276</v>
      </c>
      <c r="AC7" s="59" t="s">
        <v>278</v>
      </c>
      <c r="AD7" t="s">
        <v>59</v>
      </c>
      <c r="AE7" s="91"/>
      <c r="AF7" s="91"/>
      <c r="AG7" s="91"/>
      <c r="AH7" s="91"/>
    </row>
    <row r="8" spans="1:34" x14ac:dyDescent="0.25">
      <c r="B8" s="7">
        <v>6724</v>
      </c>
      <c r="C8" t="s">
        <v>261</v>
      </c>
      <c r="F8" s="122">
        <v>152882</v>
      </c>
      <c r="G8" s="19"/>
      <c r="H8" s="19">
        <v>0</v>
      </c>
      <c r="I8" s="19"/>
      <c r="J8" s="123">
        <v>0</v>
      </c>
      <c r="K8" s="19"/>
      <c r="L8" s="122">
        <v>0</v>
      </c>
      <c r="M8" s="19"/>
      <c r="N8" s="19">
        <v>0</v>
      </c>
      <c r="O8" s="19"/>
      <c r="P8" s="19">
        <f>R8-L8</f>
        <v>0</v>
      </c>
      <c r="Q8" s="239"/>
      <c r="R8" s="123">
        <v>0</v>
      </c>
      <c r="S8" s="5"/>
      <c r="U8" s="399"/>
      <c r="W8" s="59" t="s">
        <v>310</v>
      </c>
      <c r="X8" s="59" t="s">
        <v>276</v>
      </c>
      <c r="Y8" s="59" t="s">
        <v>277</v>
      </c>
      <c r="Z8" s="59" t="s">
        <v>278</v>
      </c>
      <c r="AA8" s="59" t="s">
        <v>314</v>
      </c>
      <c r="AB8" s="59" t="s">
        <v>276</v>
      </c>
      <c r="AC8" s="59" t="s">
        <v>278</v>
      </c>
      <c r="AD8" t="s">
        <v>252</v>
      </c>
      <c r="AE8" s="91"/>
      <c r="AF8" s="91"/>
      <c r="AG8" s="91"/>
      <c r="AH8" s="91"/>
    </row>
    <row r="9" spans="1:34" x14ac:dyDescent="0.25">
      <c r="B9" s="7">
        <v>6725</v>
      </c>
      <c r="C9" t="s">
        <v>284</v>
      </c>
      <c r="F9" s="122">
        <v>0</v>
      </c>
      <c r="G9" s="19"/>
      <c r="H9" s="19">
        <v>0</v>
      </c>
      <c r="I9" s="19"/>
      <c r="J9" s="123">
        <v>0</v>
      </c>
      <c r="K9" s="19"/>
      <c r="L9" s="122">
        <v>0</v>
      </c>
      <c r="M9" s="19"/>
      <c r="N9" s="19">
        <v>0</v>
      </c>
      <c r="O9" s="19"/>
      <c r="P9" s="19">
        <f>R9-L9</f>
        <v>0</v>
      </c>
      <c r="Q9" s="239"/>
      <c r="R9" s="123">
        <v>0</v>
      </c>
      <c r="S9" s="5"/>
      <c r="U9" s="399"/>
      <c r="W9" s="59" t="s">
        <v>310</v>
      </c>
      <c r="X9" s="59" t="s">
        <v>276</v>
      </c>
      <c r="Y9" s="59" t="s">
        <v>277</v>
      </c>
      <c r="Z9" s="59" t="s">
        <v>278</v>
      </c>
      <c r="AA9" s="59" t="s">
        <v>289</v>
      </c>
      <c r="AB9" s="59" t="s">
        <v>276</v>
      </c>
      <c r="AC9" s="59" t="s">
        <v>278</v>
      </c>
      <c r="AD9" t="s">
        <v>315</v>
      </c>
      <c r="AE9" s="91"/>
      <c r="AF9" s="91"/>
      <c r="AG9" s="91"/>
      <c r="AH9" s="91"/>
    </row>
    <row r="10" spans="1:34" x14ac:dyDescent="0.25">
      <c r="B10" s="7">
        <v>6760</v>
      </c>
      <c r="C10" t="s">
        <v>262</v>
      </c>
      <c r="F10" s="122">
        <v>0</v>
      </c>
      <c r="G10" s="19"/>
      <c r="H10" s="19">
        <v>0</v>
      </c>
      <c r="I10" s="19"/>
      <c r="J10" s="123">
        <v>0</v>
      </c>
      <c r="K10" s="19"/>
      <c r="L10" s="122">
        <v>0</v>
      </c>
      <c r="M10" s="19"/>
      <c r="N10" s="19">
        <v>0</v>
      </c>
      <c r="O10" s="19"/>
      <c r="P10" s="19">
        <f>R10-L10</f>
        <v>0</v>
      </c>
      <c r="Q10" s="239"/>
      <c r="R10" s="123">
        <v>0</v>
      </c>
      <c r="S10" s="5"/>
      <c r="U10" s="399"/>
      <c r="W10" s="59" t="s">
        <v>310</v>
      </c>
      <c r="X10" s="59" t="s">
        <v>276</v>
      </c>
      <c r="Y10" s="59" t="s">
        <v>277</v>
      </c>
      <c r="Z10" s="59" t="s">
        <v>278</v>
      </c>
      <c r="AA10" s="59" t="s">
        <v>282</v>
      </c>
      <c r="AB10" s="59" t="s">
        <v>276</v>
      </c>
      <c r="AC10" s="59" t="s">
        <v>311</v>
      </c>
      <c r="AD10" t="s">
        <v>312</v>
      </c>
      <c r="AE10" s="91"/>
      <c r="AF10" s="91"/>
      <c r="AG10" s="91"/>
      <c r="AH10" s="91"/>
    </row>
    <row r="11" spans="1:34" x14ac:dyDescent="0.25">
      <c r="B11" s="7" t="s">
        <v>31</v>
      </c>
      <c r="F11" s="124">
        <f>SUM(F8:F10)</f>
        <v>152882</v>
      </c>
      <c r="G11" s="125"/>
      <c r="H11" s="126">
        <f>SUM(H8:H10)</f>
        <v>0</v>
      </c>
      <c r="I11" s="125"/>
      <c r="J11" s="127">
        <f>SUM(J8:J10)</f>
        <v>0</v>
      </c>
      <c r="K11" s="19"/>
      <c r="L11" s="124">
        <f>SUM(L8:L10)</f>
        <v>0</v>
      </c>
      <c r="M11" s="125"/>
      <c r="N11" s="126">
        <f>SUM(N8:N10)</f>
        <v>0</v>
      </c>
      <c r="O11" s="125"/>
      <c r="P11" s="126">
        <f>SUM(P8:P10)</f>
        <v>0</v>
      </c>
      <c r="Q11" s="239"/>
      <c r="R11" s="127">
        <f>SUM(R8:R10)</f>
        <v>0</v>
      </c>
      <c r="U11" s="399"/>
      <c r="W11" s="59"/>
      <c r="X11" s="59"/>
      <c r="Y11" s="59"/>
      <c r="Z11" s="59"/>
      <c r="AA11" s="59"/>
      <c r="AB11" s="59"/>
      <c r="AC11" s="59"/>
      <c r="AD11" t="s">
        <v>68</v>
      </c>
      <c r="AE11" s="91"/>
      <c r="AF11" s="91"/>
      <c r="AG11" s="91"/>
      <c r="AH11" s="91"/>
    </row>
    <row r="12" spans="1:34" x14ac:dyDescent="0.25">
      <c r="F12" s="122"/>
      <c r="G12" s="128"/>
      <c r="H12" s="19"/>
      <c r="I12" s="128"/>
      <c r="J12" s="123"/>
      <c r="K12" s="19"/>
      <c r="L12" s="122"/>
      <c r="M12" s="128"/>
      <c r="N12" s="19"/>
      <c r="O12" s="128"/>
      <c r="P12" s="19"/>
      <c r="Q12" s="239"/>
      <c r="R12" s="123"/>
      <c r="U12" s="399"/>
      <c r="AD12" t="s">
        <v>68</v>
      </c>
      <c r="AE12" s="91"/>
      <c r="AF12" s="91"/>
      <c r="AG12" s="91"/>
      <c r="AH12" s="91"/>
    </row>
    <row r="13" spans="1:34" x14ac:dyDescent="0.25">
      <c r="B13" s="7" t="s">
        <v>32</v>
      </c>
      <c r="F13" s="122"/>
      <c r="G13" s="19"/>
      <c r="H13" s="19"/>
      <c r="I13" s="19"/>
      <c r="J13" s="123"/>
      <c r="K13" s="19"/>
      <c r="L13" s="122"/>
      <c r="M13" s="19"/>
      <c r="N13" s="19"/>
      <c r="O13" s="19"/>
      <c r="P13" s="19"/>
      <c r="Q13" s="239"/>
      <c r="R13" s="123"/>
      <c r="U13" s="399"/>
      <c r="W13" s="59"/>
      <c r="X13" s="59"/>
      <c r="Y13" s="59"/>
      <c r="Z13" s="59"/>
      <c r="AA13" s="59"/>
      <c r="AB13" s="59"/>
      <c r="AC13" s="59"/>
      <c r="AD13" t="s">
        <v>68</v>
      </c>
      <c r="AE13" s="91"/>
      <c r="AF13" s="91"/>
      <c r="AG13" s="91"/>
      <c r="AH13" s="91"/>
    </row>
    <row r="14" spans="1:34" x14ac:dyDescent="0.25">
      <c r="B14" s="7">
        <v>1324</v>
      </c>
      <c r="C14" t="s">
        <v>59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f>+AE7</f>
        <v>0</v>
      </c>
      <c r="M14" s="19"/>
      <c r="N14" s="19">
        <f>+AG7</f>
        <v>0</v>
      </c>
      <c r="O14" s="19"/>
      <c r="P14" s="19">
        <f>+R14-L14</f>
        <v>0</v>
      </c>
      <c r="Q14" s="239"/>
      <c r="R14" s="123">
        <f>+AH7</f>
        <v>0</v>
      </c>
      <c r="U14" s="399"/>
      <c r="W14" s="59"/>
      <c r="X14" s="59"/>
      <c r="Y14" s="59"/>
      <c r="Z14" s="59"/>
      <c r="AA14" s="59"/>
      <c r="AB14" s="59"/>
      <c r="AC14" s="59"/>
      <c r="AD14" t="s">
        <v>68</v>
      </c>
      <c r="AE14" s="91"/>
      <c r="AF14" s="91"/>
      <c r="AG14" s="91"/>
      <c r="AH14" s="91"/>
    </row>
    <row r="15" spans="1:34" x14ac:dyDescent="0.25">
      <c r="B15" s="7">
        <v>1510</v>
      </c>
      <c r="C15" t="s">
        <v>252</v>
      </c>
      <c r="F15" s="122">
        <v>318</v>
      </c>
      <c r="G15" s="19"/>
      <c r="H15" s="19">
        <v>0</v>
      </c>
      <c r="I15" s="19"/>
      <c r="J15" s="123">
        <v>0</v>
      </c>
      <c r="K15" s="19"/>
      <c r="L15" s="122">
        <f t="shared" ref="L15:L23" si="0">+AE8</f>
        <v>0</v>
      </c>
      <c r="M15" s="19"/>
      <c r="N15" s="19">
        <f t="shared" ref="N15:N23" si="1">+AG8</f>
        <v>0</v>
      </c>
      <c r="O15" s="19"/>
      <c r="P15" s="19">
        <f t="shared" ref="P15:P23" si="2">+R15-L15</f>
        <v>0</v>
      </c>
      <c r="Q15" s="239"/>
      <c r="R15" s="123">
        <f t="shared" ref="R15:R23" si="3">+AH8</f>
        <v>0</v>
      </c>
      <c r="U15" s="399"/>
      <c r="W15" s="59" t="s">
        <v>310</v>
      </c>
      <c r="X15" s="59" t="s">
        <v>276</v>
      </c>
      <c r="Y15" s="59" t="s">
        <v>277</v>
      </c>
      <c r="Z15" s="59" t="s">
        <v>278</v>
      </c>
      <c r="AA15" s="59" t="s">
        <v>290</v>
      </c>
      <c r="AB15" s="59" t="s">
        <v>276</v>
      </c>
      <c r="AC15" s="59" t="s">
        <v>278</v>
      </c>
      <c r="AD15" t="s">
        <v>155</v>
      </c>
      <c r="AE15" s="91"/>
      <c r="AF15" s="91"/>
      <c r="AG15" s="91"/>
      <c r="AH15" s="91"/>
    </row>
    <row r="16" spans="1:34" x14ac:dyDescent="0.25">
      <c r="B16" s="7">
        <v>1990</v>
      </c>
      <c r="C16" t="s">
        <v>315</v>
      </c>
      <c r="F16" s="122">
        <v>0</v>
      </c>
      <c r="G16" s="19"/>
      <c r="H16" s="204">
        <v>0</v>
      </c>
      <c r="I16" s="19"/>
      <c r="J16" s="123">
        <v>0</v>
      </c>
      <c r="K16" s="19"/>
      <c r="L16" s="122">
        <f t="shared" si="0"/>
        <v>0</v>
      </c>
      <c r="M16" s="19"/>
      <c r="N16" s="19">
        <f t="shared" si="1"/>
        <v>0</v>
      </c>
      <c r="O16" s="19"/>
      <c r="P16" s="19">
        <f t="shared" si="2"/>
        <v>0</v>
      </c>
      <c r="Q16" s="239"/>
      <c r="R16" s="123">
        <f t="shared" si="3"/>
        <v>0</v>
      </c>
      <c r="U16" s="399"/>
    </row>
    <row r="17" spans="2:53" ht="16.5" thickBot="1" x14ac:dyDescent="0.3">
      <c r="B17" s="7" t="s">
        <v>321</v>
      </c>
      <c r="C17" t="s">
        <v>312</v>
      </c>
      <c r="F17" s="122">
        <v>0</v>
      </c>
      <c r="G17" s="19"/>
      <c r="H17" s="204">
        <v>0</v>
      </c>
      <c r="I17" s="19"/>
      <c r="J17" s="123">
        <v>0</v>
      </c>
      <c r="K17" s="19"/>
      <c r="L17" s="122">
        <f t="shared" si="0"/>
        <v>0</v>
      </c>
      <c r="M17" s="19"/>
      <c r="N17" s="19">
        <f t="shared" si="1"/>
        <v>0</v>
      </c>
      <c r="O17" s="19"/>
      <c r="P17" s="19">
        <f t="shared" si="2"/>
        <v>0</v>
      </c>
      <c r="Q17" s="239"/>
      <c r="R17" s="123">
        <f t="shared" si="3"/>
        <v>0</v>
      </c>
      <c r="U17" s="399"/>
      <c r="W17" s="400" t="s">
        <v>285</v>
      </c>
      <c r="X17" s="400"/>
      <c r="Y17" s="400"/>
      <c r="Z17" s="400"/>
      <c r="AA17" s="400"/>
      <c r="AB17" s="400"/>
      <c r="AC17" s="400"/>
      <c r="AJ17" s="59"/>
      <c r="AK17" s="59"/>
      <c r="AL17" s="59"/>
      <c r="AM17" s="5"/>
      <c r="AN17" s="5"/>
      <c r="AO17" s="5"/>
      <c r="AP17" s="5"/>
      <c r="AU17" s="400" t="s">
        <v>286</v>
      </c>
      <c r="AV17" s="400"/>
      <c r="AW17" s="400"/>
      <c r="AX17" s="400"/>
      <c r="AY17" s="400"/>
      <c r="AZ17" s="400"/>
      <c r="BA17" s="400"/>
    </row>
    <row r="18" spans="2:53" ht="16.5" thickBot="1" x14ac:dyDescent="0.3">
      <c r="C18" t="s">
        <v>68</v>
      </c>
      <c r="F18" s="122">
        <v>0</v>
      </c>
      <c r="G18" s="19"/>
      <c r="H18" s="204">
        <v>0</v>
      </c>
      <c r="I18" s="19"/>
      <c r="J18" s="123">
        <v>0</v>
      </c>
      <c r="K18" s="19"/>
      <c r="L18" s="122">
        <f t="shared" si="0"/>
        <v>0</v>
      </c>
      <c r="M18" s="19"/>
      <c r="N18" s="19">
        <f t="shared" si="1"/>
        <v>0</v>
      </c>
      <c r="O18" s="19"/>
      <c r="P18" s="19">
        <f t="shared" si="2"/>
        <v>0</v>
      </c>
      <c r="Q18" s="239"/>
      <c r="R18" s="123">
        <f t="shared" si="3"/>
        <v>0</v>
      </c>
      <c r="U18" s="399"/>
      <c r="W18" s="401" t="s">
        <v>273</v>
      </c>
      <c r="X18" s="401"/>
      <c r="Y18" s="401"/>
      <c r="Z18" s="401"/>
      <c r="AA18" s="401"/>
      <c r="AB18" s="401"/>
      <c r="AC18" s="401"/>
      <c r="AE18" s="70" t="e">
        <f>+#REF!</f>
        <v>#REF!</v>
      </c>
      <c r="AF18" s="70" t="e">
        <f>+#REF!</f>
        <v>#REF!</v>
      </c>
      <c r="AG18" s="70" t="e">
        <f>+#REF!</f>
        <v>#REF!</v>
      </c>
      <c r="AH18" s="70" t="e">
        <f>+#REF!</f>
        <v>#REF!</v>
      </c>
      <c r="AJ18" s="104"/>
      <c r="AK18" s="104"/>
      <c r="AL18" s="59"/>
      <c r="AM18" s="96"/>
      <c r="AN18" s="94"/>
      <c r="AO18" s="94"/>
      <c r="AP18" s="101" t="s">
        <v>238</v>
      </c>
      <c r="AQ18" s="103">
        <f>+BudgetAssump!$K$23+BudgetAssump!$K$24</f>
        <v>0.22850000000000001</v>
      </c>
      <c r="AR18" s="90"/>
      <c r="AS18" s="98" t="s">
        <v>236</v>
      </c>
      <c r="AT18" s="98"/>
      <c r="AU18" s="401" t="s">
        <v>272</v>
      </c>
      <c r="AV18" s="401"/>
      <c r="AW18" s="401"/>
      <c r="AX18" s="401"/>
      <c r="AY18" s="401"/>
      <c r="AZ18" s="401"/>
      <c r="BA18" s="401"/>
    </row>
    <row r="19" spans="2:53" ht="15.75" thickBot="1" x14ac:dyDescent="0.3">
      <c r="C19" t="s">
        <v>68</v>
      </c>
      <c r="F19" s="122">
        <v>0</v>
      </c>
      <c r="G19" s="19"/>
      <c r="H19" s="204">
        <v>0</v>
      </c>
      <c r="I19" s="19"/>
      <c r="J19" s="123">
        <v>0</v>
      </c>
      <c r="K19" s="19"/>
      <c r="L19" s="122">
        <f t="shared" si="0"/>
        <v>0</v>
      </c>
      <c r="M19" s="19"/>
      <c r="N19" s="19">
        <f t="shared" si="1"/>
        <v>0</v>
      </c>
      <c r="O19" s="19"/>
      <c r="P19" s="19">
        <f t="shared" si="2"/>
        <v>0</v>
      </c>
      <c r="Q19" s="239"/>
      <c r="R19" s="123">
        <f t="shared" si="3"/>
        <v>0</v>
      </c>
      <c r="U19" s="399"/>
      <c r="V19" s="187" t="s">
        <v>233</v>
      </c>
      <c r="W19" s="188" t="s">
        <v>231</v>
      </c>
      <c r="X19" s="188" t="s">
        <v>231</v>
      </c>
      <c r="Y19" s="188" t="s">
        <v>231</v>
      </c>
      <c r="Z19" s="188" t="s">
        <v>231</v>
      </c>
      <c r="AA19" s="188" t="s">
        <v>231</v>
      </c>
      <c r="AB19" s="188" t="s">
        <v>231</v>
      </c>
      <c r="AC19" s="188" t="s">
        <v>231</v>
      </c>
      <c r="AD19" s="187" t="s">
        <v>233</v>
      </c>
      <c r="AE19" s="188" t="s">
        <v>232</v>
      </c>
      <c r="AF19" s="188" t="s">
        <v>232</v>
      </c>
      <c r="AG19" s="188" t="s">
        <v>232</v>
      </c>
      <c r="AH19" s="188" t="s">
        <v>232</v>
      </c>
      <c r="AJ19" s="59" t="s">
        <v>231</v>
      </c>
      <c r="AK19" s="59" t="s">
        <v>231</v>
      </c>
      <c r="AL19" s="59" t="s">
        <v>231</v>
      </c>
      <c r="AM19" s="96" t="s">
        <v>232</v>
      </c>
      <c r="AN19" s="96" t="s">
        <v>232</v>
      </c>
      <c r="AO19" s="96" t="s">
        <v>232</v>
      </c>
      <c r="AP19" s="90" t="s">
        <v>232</v>
      </c>
      <c r="AQ19" s="98" t="s">
        <v>232</v>
      </c>
      <c r="AR19" s="90" t="s">
        <v>232</v>
      </c>
      <c r="AS19" s="98" t="s">
        <v>232</v>
      </c>
      <c r="AT19" s="98"/>
      <c r="AU19" s="90" t="s">
        <v>231</v>
      </c>
      <c r="AV19" s="90" t="s">
        <v>231</v>
      </c>
      <c r="AW19" s="90" t="s">
        <v>231</v>
      </c>
      <c r="AX19" s="90" t="s">
        <v>231</v>
      </c>
      <c r="AY19" s="90" t="s">
        <v>231</v>
      </c>
      <c r="AZ19" s="90" t="s">
        <v>231</v>
      </c>
      <c r="BA19" s="59" t="s">
        <v>231</v>
      </c>
    </row>
    <row r="20" spans="2:53" ht="15.75" thickBot="1" x14ac:dyDescent="0.3">
      <c r="C20" t="s">
        <v>68</v>
      </c>
      <c r="F20" s="122">
        <v>0</v>
      </c>
      <c r="G20" s="19"/>
      <c r="H20" s="204">
        <v>0</v>
      </c>
      <c r="I20" s="19"/>
      <c r="J20" s="123">
        <v>0</v>
      </c>
      <c r="K20" s="19"/>
      <c r="L20" s="122">
        <f t="shared" si="0"/>
        <v>0</v>
      </c>
      <c r="M20" s="19"/>
      <c r="N20" s="19">
        <f t="shared" si="1"/>
        <v>0</v>
      </c>
      <c r="O20" s="19"/>
      <c r="P20" s="19">
        <f t="shared" si="2"/>
        <v>0</v>
      </c>
      <c r="Q20" s="239"/>
      <c r="R20" s="123">
        <f t="shared" si="3"/>
        <v>0</v>
      </c>
      <c r="U20" s="399"/>
      <c r="W20" s="66" t="s">
        <v>144</v>
      </c>
      <c r="X20" s="69" t="s">
        <v>139</v>
      </c>
      <c r="Y20" s="67" t="s">
        <v>145</v>
      </c>
      <c r="Z20" s="69" t="s">
        <v>174</v>
      </c>
      <c r="AA20" s="67" t="s">
        <v>175</v>
      </c>
      <c r="AB20" s="69" t="s">
        <v>148</v>
      </c>
      <c r="AC20" s="68" t="s">
        <v>149</v>
      </c>
      <c r="AD20" s="68" t="s">
        <v>229</v>
      </c>
      <c r="AE20" s="69" t="e">
        <f>+#REF!</f>
        <v>#REF!</v>
      </c>
      <c r="AF20" s="69" t="e">
        <f>+#REF!</f>
        <v>#REF!</v>
      </c>
      <c r="AG20" s="69" t="e">
        <f>+#REF!</f>
        <v>#REF!</v>
      </c>
      <c r="AH20" s="69" t="e">
        <f>+#REF!</f>
        <v>#REF!</v>
      </c>
      <c r="AJ20" s="102" t="s">
        <v>138</v>
      </c>
      <c r="AK20" s="102" t="s">
        <v>150</v>
      </c>
      <c r="AL20" s="102" t="s">
        <v>235</v>
      </c>
      <c r="AM20" s="97" t="s">
        <v>140</v>
      </c>
      <c r="AN20" s="95" t="s">
        <v>141</v>
      </c>
      <c r="AO20" s="95" t="s">
        <v>142</v>
      </c>
      <c r="AP20" s="93" t="s">
        <v>143</v>
      </c>
      <c r="AQ20" s="99" t="s">
        <v>161</v>
      </c>
      <c r="AR20" s="93" t="s">
        <v>162</v>
      </c>
      <c r="AS20" s="99" t="s">
        <v>283</v>
      </c>
      <c r="AT20" s="99" t="s">
        <v>237</v>
      </c>
      <c r="AU20" s="58" t="s">
        <v>144</v>
      </c>
      <c r="AV20" s="58" t="s">
        <v>139</v>
      </c>
      <c r="AW20" s="58" t="s">
        <v>145</v>
      </c>
      <c r="AX20" s="58" t="s">
        <v>146</v>
      </c>
      <c r="AY20" s="58" t="s">
        <v>147</v>
      </c>
      <c r="AZ20" s="58" t="s">
        <v>148</v>
      </c>
      <c r="BA20" s="102" t="s">
        <v>149</v>
      </c>
    </row>
    <row r="21" spans="2:53" x14ac:dyDescent="0.25">
      <c r="C21" t="s">
        <v>68</v>
      </c>
      <c r="F21" s="122">
        <v>0</v>
      </c>
      <c r="G21" s="19"/>
      <c r="H21" s="204">
        <v>0</v>
      </c>
      <c r="I21" s="19"/>
      <c r="J21" s="123">
        <v>0</v>
      </c>
      <c r="K21" s="19"/>
      <c r="L21" s="122">
        <f t="shared" si="0"/>
        <v>0</v>
      </c>
      <c r="M21" s="19"/>
      <c r="N21" s="19">
        <f t="shared" si="1"/>
        <v>0</v>
      </c>
      <c r="O21" s="19"/>
      <c r="P21" s="19">
        <f t="shared" si="2"/>
        <v>0</v>
      </c>
      <c r="Q21" s="239"/>
      <c r="R21" s="123">
        <f t="shared" si="3"/>
        <v>0</v>
      </c>
      <c r="U21" s="399"/>
      <c r="W21" s="59"/>
      <c r="X21" s="59"/>
      <c r="Y21" s="59"/>
      <c r="Z21" s="59"/>
      <c r="AA21" s="59"/>
      <c r="AB21" s="59"/>
      <c r="AC21" s="59"/>
      <c r="AD21" s="172"/>
      <c r="AE21" s="90"/>
      <c r="AF21" s="90"/>
      <c r="AG21" s="90"/>
      <c r="AH21" s="91"/>
      <c r="AJ21" s="59"/>
      <c r="AK21" s="59"/>
      <c r="AL21" s="59"/>
      <c r="AM21" s="96"/>
      <c r="AN21" s="94"/>
      <c r="AO21" s="94"/>
      <c r="AP21" s="90"/>
      <c r="AQ21" s="98">
        <f>+AP21*AQ$18</f>
        <v>0</v>
      </c>
      <c r="AR21" s="90"/>
      <c r="AS21" s="98">
        <f>AQ21+AR21</f>
        <v>0</v>
      </c>
      <c r="AT21" s="98">
        <f>+AS21+AP21</f>
        <v>0</v>
      </c>
      <c r="AU21" s="59"/>
      <c r="AV21" s="59"/>
      <c r="AW21" s="59"/>
      <c r="AX21" s="59"/>
      <c r="AY21" s="59"/>
      <c r="AZ21" s="59"/>
      <c r="BA21" s="59"/>
    </row>
    <row r="22" spans="2:53" x14ac:dyDescent="0.25">
      <c r="B22" s="7">
        <v>5210</v>
      </c>
      <c r="C22" t="s">
        <v>249</v>
      </c>
      <c r="F22" s="122">
        <v>472971</v>
      </c>
      <c r="G22" s="19"/>
      <c r="H22" s="19">
        <v>0</v>
      </c>
      <c r="I22" s="19"/>
      <c r="J22" s="123">
        <v>0</v>
      </c>
      <c r="K22" s="19"/>
      <c r="L22" s="122">
        <f t="shared" si="0"/>
        <v>0</v>
      </c>
      <c r="M22" s="19"/>
      <c r="N22" s="19">
        <f t="shared" si="1"/>
        <v>0</v>
      </c>
      <c r="O22" s="19"/>
      <c r="P22" s="19">
        <f t="shared" si="2"/>
        <v>0</v>
      </c>
      <c r="Q22" s="239"/>
      <c r="R22" s="123">
        <f t="shared" si="3"/>
        <v>0</v>
      </c>
      <c r="U22" s="399"/>
      <c r="W22" s="59"/>
      <c r="X22" s="59"/>
      <c r="Y22" s="59"/>
      <c r="Z22" s="59"/>
      <c r="AA22" s="59"/>
      <c r="AB22" s="59"/>
      <c r="AC22" s="59"/>
      <c r="AD22" s="172"/>
      <c r="AE22" s="90"/>
      <c r="AF22" s="90"/>
      <c r="AG22" s="90"/>
      <c r="AH22" s="91"/>
      <c r="AJ22" s="59"/>
      <c r="AK22" s="59"/>
      <c r="AL22" s="59"/>
      <c r="AM22" s="96"/>
      <c r="AN22" s="94"/>
      <c r="AO22" s="94"/>
      <c r="AP22" s="90"/>
      <c r="AQ22" s="98">
        <f t="shared" ref="AQ22:AQ45" si="4">+AP22*AQ$18</f>
        <v>0</v>
      </c>
      <c r="AR22" s="90"/>
      <c r="AS22" s="98">
        <f t="shared" ref="AS22:AS45" si="5">AQ22+AR22</f>
        <v>0</v>
      </c>
      <c r="AT22" s="98">
        <f t="shared" ref="AT22:AT45" si="6">+AS22+AP22</f>
        <v>0</v>
      </c>
      <c r="AU22" s="59"/>
      <c r="AV22" s="59"/>
      <c r="AW22" s="59"/>
      <c r="AX22" s="59"/>
      <c r="AY22" s="59"/>
      <c r="AZ22" s="59"/>
      <c r="BA22" s="59"/>
    </row>
    <row r="23" spans="2:53" x14ac:dyDescent="0.25">
      <c r="B23" s="7" t="s">
        <v>246</v>
      </c>
      <c r="C23" t="s">
        <v>68</v>
      </c>
      <c r="F23" s="122">
        <v>0</v>
      </c>
      <c r="G23" s="19"/>
      <c r="H23" s="19">
        <v>0</v>
      </c>
      <c r="I23" s="19"/>
      <c r="J23" s="123">
        <v>0</v>
      </c>
      <c r="K23" s="19"/>
      <c r="L23" s="122">
        <f t="shared" si="0"/>
        <v>0</v>
      </c>
      <c r="M23" s="19"/>
      <c r="N23" s="19">
        <f t="shared" si="1"/>
        <v>0</v>
      </c>
      <c r="O23" s="19"/>
      <c r="P23" s="19">
        <f t="shared" si="2"/>
        <v>0</v>
      </c>
      <c r="Q23" s="239"/>
      <c r="R23" s="123">
        <f t="shared" si="3"/>
        <v>0</v>
      </c>
      <c r="U23" s="399"/>
      <c r="W23" s="59"/>
      <c r="X23" s="59"/>
      <c r="Y23" s="59"/>
      <c r="Z23" s="59"/>
      <c r="AA23" s="59"/>
      <c r="AB23" s="59"/>
      <c r="AC23" s="59"/>
      <c r="AD23" s="64"/>
      <c r="AE23" s="90"/>
      <c r="AF23" s="90"/>
      <c r="AG23" s="90"/>
      <c r="AH23" s="91"/>
      <c r="AJ23" s="59"/>
      <c r="AK23" s="59"/>
      <c r="AL23" s="59"/>
      <c r="AM23" s="96"/>
      <c r="AN23" s="94"/>
      <c r="AO23" s="94"/>
      <c r="AP23" s="90"/>
      <c r="AQ23" s="98">
        <f t="shared" si="4"/>
        <v>0</v>
      </c>
      <c r="AR23" s="90"/>
      <c r="AS23" s="98">
        <f t="shared" si="5"/>
        <v>0</v>
      </c>
      <c r="AT23" s="98">
        <f t="shared" si="6"/>
        <v>0</v>
      </c>
      <c r="AU23" s="59"/>
      <c r="AV23" s="59"/>
      <c r="AW23" s="59"/>
      <c r="AX23" s="59"/>
      <c r="AY23" s="59"/>
      <c r="AZ23" s="59"/>
      <c r="BA23" s="59"/>
    </row>
    <row r="24" spans="2:53" x14ac:dyDescent="0.25">
      <c r="B24" s="7" t="s">
        <v>37</v>
      </c>
      <c r="F24" s="124">
        <f>SUM(F13:F23)</f>
        <v>473289</v>
      </c>
      <c r="G24" s="126"/>
      <c r="H24" s="126">
        <f>SUM(H13:H23)</f>
        <v>0</v>
      </c>
      <c r="I24" s="126"/>
      <c r="J24" s="127">
        <f>SUM(J20:J23)</f>
        <v>0</v>
      </c>
      <c r="K24" s="19"/>
      <c r="L24" s="124">
        <f>SUM(L14:L23)</f>
        <v>0</v>
      </c>
      <c r="M24" s="126"/>
      <c r="N24" s="126">
        <f>SUM(N14:N23)</f>
        <v>0</v>
      </c>
      <c r="O24" s="126"/>
      <c r="P24" s="126">
        <f>SUM(P14:P23)</f>
        <v>0</v>
      </c>
      <c r="Q24" s="239"/>
      <c r="R24" s="127">
        <f>SUM(R14:R23)</f>
        <v>0</v>
      </c>
      <c r="U24" s="399"/>
      <c r="W24" s="59"/>
      <c r="X24" s="59"/>
      <c r="Y24" s="59"/>
      <c r="Z24" s="59"/>
      <c r="AA24" s="59"/>
      <c r="AB24" s="59"/>
      <c r="AC24" s="59"/>
      <c r="AD24" s="64"/>
      <c r="AE24" s="90"/>
      <c r="AF24" s="90"/>
      <c r="AG24" s="90"/>
      <c r="AH24" s="91"/>
      <c r="AJ24" s="59"/>
      <c r="AK24" s="59"/>
      <c r="AL24" s="59"/>
      <c r="AM24" s="96"/>
      <c r="AN24" s="94"/>
      <c r="AO24" s="94"/>
      <c r="AP24" s="90"/>
      <c r="AQ24" s="98">
        <f t="shared" si="4"/>
        <v>0</v>
      </c>
      <c r="AR24" s="90"/>
      <c r="AS24" s="98">
        <f t="shared" si="5"/>
        <v>0</v>
      </c>
      <c r="AT24" s="98">
        <f t="shared" si="6"/>
        <v>0</v>
      </c>
      <c r="AU24" s="59"/>
      <c r="AV24" s="59"/>
      <c r="AW24" s="59"/>
      <c r="AX24" s="59"/>
      <c r="AY24" s="59"/>
      <c r="AZ24" s="59"/>
      <c r="BA24" s="59"/>
    </row>
    <row r="25" spans="2:53" x14ac:dyDescent="0.25">
      <c r="F25" s="122"/>
      <c r="G25" s="19"/>
      <c r="H25" s="19"/>
      <c r="I25" s="19"/>
      <c r="J25" s="123"/>
      <c r="K25" s="19"/>
      <c r="L25" s="122"/>
      <c r="M25" s="19"/>
      <c r="N25" s="19"/>
      <c r="O25" s="19"/>
      <c r="P25" s="19"/>
      <c r="Q25" s="239"/>
      <c r="R25" s="123"/>
      <c r="U25" s="399"/>
      <c r="W25" s="59"/>
      <c r="X25" s="59"/>
      <c r="Y25" s="59"/>
      <c r="Z25" s="59"/>
      <c r="AA25" s="59"/>
      <c r="AB25" s="59"/>
      <c r="AC25" s="59"/>
      <c r="AD25" s="64"/>
      <c r="AE25" s="90"/>
      <c r="AF25" s="90"/>
      <c r="AG25" s="90"/>
      <c r="AH25" s="91"/>
      <c r="AJ25" s="59"/>
      <c r="AK25" s="59"/>
      <c r="AL25" s="59"/>
      <c r="AM25" s="96"/>
      <c r="AN25" s="94"/>
      <c r="AO25" s="94"/>
      <c r="AP25" s="90"/>
      <c r="AQ25" s="98">
        <f t="shared" si="4"/>
        <v>0</v>
      </c>
      <c r="AR25" s="90"/>
      <c r="AS25" s="98">
        <f t="shared" si="5"/>
        <v>0</v>
      </c>
      <c r="AT25" s="98">
        <f t="shared" si="6"/>
        <v>0</v>
      </c>
      <c r="AU25" s="59"/>
      <c r="AV25" s="59"/>
      <c r="AW25" s="59"/>
      <c r="AX25" s="59"/>
      <c r="AY25" s="59"/>
      <c r="AZ25" s="59"/>
      <c r="BA25" s="59"/>
    </row>
    <row r="26" spans="2:53" x14ac:dyDescent="0.25">
      <c r="B26" s="7" t="s">
        <v>38</v>
      </c>
      <c r="F26" s="178">
        <f>F11+F24</f>
        <v>626171</v>
      </c>
      <c r="G26" s="179"/>
      <c r="H26" s="179">
        <f>H11+H24</f>
        <v>0</v>
      </c>
      <c r="I26" s="179"/>
      <c r="J26" s="180">
        <f>J11+J24</f>
        <v>0</v>
      </c>
      <c r="K26" s="19"/>
      <c r="L26" s="178">
        <f>L11+L24</f>
        <v>0</v>
      </c>
      <c r="M26" s="179"/>
      <c r="N26" s="179">
        <f>N11+N24</f>
        <v>0</v>
      </c>
      <c r="O26" s="179"/>
      <c r="P26" s="179">
        <f>P11+P24</f>
        <v>0</v>
      </c>
      <c r="Q26" s="239"/>
      <c r="R26" s="180">
        <f>R11+R24</f>
        <v>0</v>
      </c>
      <c r="U26" s="399"/>
      <c r="W26" s="59"/>
      <c r="X26" s="59"/>
      <c r="Y26" s="59"/>
      <c r="Z26" s="59"/>
      <c r="AA26" s="59"/>
      <c r="AB26" s="59"/>
      <c r="AC26" s="59"/>
      <c r="AD26" s="175"/>
      <c r="AE26" s="181"/>
      <c r="AF26" s="181"/>
      <c r="AG26" s="181"/>
      <c r="AH26" s="181"/>
      <c r="AJ26" s="59"/>
      <c r="AK26" s="59"/>
      <c r="AL26" s="59"/>
      <c r="AM26" s="96"/>
      <c r="AN26" s="94"/>
      <c r="AO26" s="94"/>
      <c r="AP26" s="90"/>
      <c r="AQ26" s="98">
        <f t="shared" si="4"/>
        <v>0</v>
      </c>
      <c r="AR26" s="90"/>
      <c r="AS26" s="98">
        <f t="shared" si="5"/>
        <v>0</v>
      </c>
      <c r="AT26" s="98">
        <f t="shared" si="6"/>
        <v>0</v>
      </c>
      <c r="AU26" s="59"/>
      <c r="AV26" s="59"/>
      <c r="AW26" s="59"/>
      <c r="AX26" s="59"/>
      <c r="AY26" s="59"/>
      <c r="AZ26" s="59"/>
      <c r="BA26" s="59"/>
    </row>
    <row r="27" spans="2:53" x14ac:dyDescent="0.25">
      <c r="F27" s="122"/>
      <c r="G27" s="19"/>
      <c r="H27" s="19"/>
      <c r="I27" s="19"/>
      <c r="J27" s="123"/>
      <c r="K27" s="19"/>
      <c r="L27" s="122"/>
      <c r="M27" s="19"/>
      <c r="N27" s="19"/>
      <c r="O27" s="19"/>
      <c r="P27" s="19"/>
      <c r="Q27" s="239"/>
      <c r="R27" s="123"/>
      <c r="U27" s="399"/>
      <c r="W27" s="59"/>
      <c r="X27" s="59"/>
      <c r="Y27" s="59"/>
      <c r="Z27" s="59"/>
      <c r="AA27" s="59"/>
      <c r="AB27" s="59"/>
      <c r="AC27" s="59"/>
      <c r="AD27" s="59"/>
      <c r="AE27" s="90"/>
      <c r="AF27" s="90"/>
      <c r="AG27" s="90"/>
      <c r="AH27" s="91"/>
      <c r="AJ27" s="59"/>
      <c r="AK27" s="59"/>
      <c r="AL27" s="59"/>
      <c r="AM27" s="96"/>
      <c r="AN27" s="94"/>
      <c r="AO27" s="94"/>
      <c r="AP27" s="90"/>
      <c r="AQ27" s="98">
        <f t="shared" si="4"/>
        <v>0</v>
      </c>
      <c r="AR27" s="90"/>
      <c r="AS27" s="98">
        <f t="shared" si="5"/>
        <v>0</v>
      </c>
      <c r="AT27" s="98">
        <f t="shared" si="6"/>
        <v>0</v>
      </c>
      <c r="AU27" s="59"/>
      <c r="AV27" s="59"/>
      <c r="AW27" s="59"/>
      <c r="AX27" s="59"/>
      <c r="AY27" s="59"/>
      <c r="AZ27" s="59"/>
      <c r="BA27" s="59"/>
    </row>
    <row r="28" spans="2:53" x14ac:dyDescent="0.25">
      <c r="B28" s="7" t="s">
        <v>151</v>
      </c>
      <c r="F28" s="122"/>
      <c r="G28" s="19"/>
      <c r="H28" s="19"/>
      <c r="I28" s="19"/>
      <c r="J28" s="123"/>
      <c r="K28" s="19"/>
      <c r="L28" s="122"/>
      <c r="M28" s="19"/>
      <c r="N28" s="19"/>
      <c r="O28" s="19"/>
      <c r="P28" s="19"/>
      <c r="Q28" s="239"/>
      <c r="R28" s="123"/>
      <c r="U28" s="399"/>
      <c r="W28" s="59"/>
      <c r="X28" s="59"/>
      <c r="Y28" s="59"/>
      <c r="Z28" s="59"/>
      <c r="AA28" s="59"/>
      <c r="AB28" s="59"/>
      <c r="AC28" s="59"/>
      <c r="AD28" s="59"/>
      <c r="AE28" s="90"/>
      <c r="AF28" s="90"/>
      <c r="AG28" s="90"/>
      <c r="AH28" s="91"/>
      <c r="AJ28" s="59"/>
      <c r="AK28" s="59"/>
      <c r="AL28" s="59"/>
      <c r="AM28" s="96"/>
      <c r="AN28" s="94"/>
      <c r="AO28" s="94"/>
      <c r="AP28" s="90"/>
      <c r="AQ28" s="98">
        <f t="shared" si="4"/>
        <v>0</v>
      </c>
      <c r="AR28" s="90"/>
      <c r="AS28" s="98">
        <f t="shared" si="5"/>
        <v>0</v>
      </c>
      <c r="AT28" s="98">
        <f t="shared" si="6"/>
        <v>0</v>
      </c>
      <c r="AU28" s="59"/>
      <c r="AV28" s="59"/>
      <c r="AW28" s="59"/>
      <c r="AX28" s="59"/>
      <c r="AY28" s="59"/>
      <c r="AZ28" s="59"/>
      <c r="BA28" s="59"/>
    </row>
    <row r="29" spans="2:53" x14ac:dyDescent="0.25">
      <c r="B29" s="87" t="s">
        <v>204</v>
      </c>
      <c r="C29" t="s">
        <v>60</v>
      </c>
      <c r="F29" s="122">
        <v>0</v>
      </c>
      <c r="G29" s="19"/>
      <c r="H29" s="19">
        <v>0</v>
      </c>
      <c r="I29" s="19"/>
      <c r="J29" s="123">
        <v>0</v>
      </c>
      <c r="K29" s="19"/>
      <c r="L29" s="122">
        <v>0</v>
      </c>
      <c r="M29" s="19"/>
      <c r="N29" s="19">
        <v>0</v>
      </c>
      <c r="O29" s="19"/>
      <c r="P29" s="19">
        <f t="shared" ref="P29:P38" si="7">R29-L29</f>
        <v>0</v>
      </c>
      <c r="Q29" s="239"/>
      <c r="R29" s="123">
        <v>0</v>
      </c>
      <c r="U29" s="399"/>
      <c r="W29" s="59"/>
      <c r="X29" s="59"/>
      <c r="Y29" s="59"/>
      <c r="Z29" s="59"/>
      <c r="AA29" s="59"/>
      <c r="AB29" s="59"/>
      <c r="AC29" s="59"/>
      <c r="AD29" s="59"/>
      <c r="AE29" s="90"/>
      <c r="AF29" s="90"/>
      <c r="AG29" s="90"/>
      <c r="AH29" s="91"/>
      <c r="AJ29" s="59"/>
      <c r="AK29" s="59"/>
      <c r="AL29" s="59"/>
      <c r="AM29" s="96"/>
      <c r="AN29" s="94"/>
      <c r="AO29" s="94"/>
      <c r="AP29" s="90"/>
      <c r="AQ29" s="98">
        <f t="shared" si="4"/>
        <v>0</v>
      </c>
      <c r="AR29" s="90"/>
      <c r="AS29" s="98">
        <f t="shared" si="5"/>
        <v>0</v>
      </c>
      <c r="AT29" s="98">
        <f t="shared" si="6"/>
        <v>0</v>
      </c>
      <c r="AU29" s="59"/>
      <c r="AV29" s="59"/>
      <c r="AW29" s="59"/>
      <c r="AX29" s="59"/>
      <c r="AY29" s="59"/>
      <c r="AZ29" s="59"/>
      <c r="BA29" s="59"/>
    </row>
    <row r="30" spans="2:53" x14ac:dyDescent="0.25">
      <c r="B30" s="87" t="s">
        <v>195</v>
      </c>
      <c r="C30" t="s">
        <v>221</v>
      </c>
      <c r="F30" s="122">
        <v>0</v>
      </c>
      <c r="G30" s="19"/>
      <c r="H30" s="19">
        <v>0</v>
      </c>
      <c r="I30" s="19"/>
      <c r="J30" s="123">
        <v>0</v>
      </c>
      <c r="K30" s="19"/>
      <c r="L30" s="122">
        <v>0</v>
      </c>
      <c r="M30" s="19"/>
      <c r="N30" s="19">
        <v>0</v>
      </c>
      <c r="O30" s="19"/>
      <c r="P30" s="19">
        <f t="shared" si="7"/>
        <v>0</v>
      </c>
      <c r="Q30" s="239"/>
      <c r="R30" s="123">
        <v>0</v>
      </c>
      <c r="U30" s="399"/>
      <c r="W30" s="59"/>
      <c r="X30" s="59"/>
      <c r="Y30" s="59"/>
      <c r="Z30" s="59"/>
      <c r="AA30" s="59"/>
      <c r="AB30" s="59"/>
      <c r="AC30" s="59"/>
      <c r="AD30" s="59"/>
      <c r="AE30" s="90"/>
      <c r="AF30" s="90"/>
      <c r="AG30" s="90"/>
      <c r="AH30" s="91"/>
      <c r="AJ30" s="59"/>
      <c r="AK30" s="59"/>
      <c r="AL30" s="59"/>
      <c r="AM30" s="96"/>
      <c r="AN30" s="94"/>
      <c r="AO30" s="94"/>
      <c r="AP30" s="90"/>
      <c r="AQ30" s="98">
        <f t="shared" si="4"/>
        <v>0</v>
      </c>
      <c r="AR30" s="90"/>
      <c r="AS30" s="98">
        <f t="shared" si="5"/>
        <v>0</v>
      </c>
      <c r="AT30" s="98">
        <f t="shared" si="6"/>
        <v>0</v>
      </c>
      <c r="AU30" s="59"/>
      <c r="AV30" s="59"/>
      <c r="AW30" s="59"/>
      <c r="AX30" s="59"/>
      <c r="AY30" s="59"/>
      <c r="AZ30" s="59"/>
      <c r="BA30" s="59"/>
    </row>
    <row r="31" spans="2:53" x14ac:dyDescent="0.25">
      <c r="B31" s="87" t="s">
        <v>196</v>
      </c>
      <c r="C31" t="s">
        <v>61</v>
      </c>
      <c r="F31" s="122">
        <v>0</v>
      </c>
      <c r="G31" s="19"/>
      <c r="H31" s="19">
        <v>0</v>
      </c>
      <c r="I31" s="19"/>
      <c r="J31" s="123">
        <v>0</v>
      </c>
      <c r="K31" s="19"/>
      <c r="L31" s="122">
        <v>0</v>
      </c>
      <c r="M31" s="19"/>
      <c r="N31" s="19">
        <v>0</v>
      </c>
      <c r="O31" s="19"/>
      <c r="P31" s="19">
        <f t="shared" si="7"/>
        <v>0</v>
      </c>
      <c r="Q31" s="239"/>
      <c r="R31" s="123">
        <v>0</v>
      </c>
      <c r="U31" s="399"/>
      <c r="W31" s="59"/>
      <c r="X31" s="59"/>
      <c r="Y31" s="59"/>
      <c r="Z31" s="59"/>
      <c r="AA31" s="59"/>
      <c r="AB31" s="59"/>
      <c r="AC31" s="59"/>
      <c r="AD31" s="59"/>
      <c r="AE31" s="90"/>
      <c r="AF31" s="90"/>
      <c r="AG31" s="90"/>
      <c r="AH31" s="91"/>
      <c r="AJ31" s="59"/>
      <c r="AK31" s="59"/>
      <c r="AL31" s="59"/>
      <c r="AM31" s="96"/>
      <c r="AN31" s="94"/>
      <c r="AO31" s="94"/>
      <c r="AP31" s="90"/>
      <c r="AQ31" s="98">
        <f t="shared" si="4"/>
        <v>0</v>
      </c>
      <c r="AR31" s="90"/>
      <c r="AS31" s="98">
        <f t="shared" si="5"/>
        <v>0</v>
      </c>
      <c r="AT31" s="98">
        <f t="shared" si="6"/>
        <v>0</v>
      </c>
      <c r="AU31" s="59"/>
      <c r="AV31" s="59"/>
      <c r="AW31" s="59"/>
      <c r="AX31" s="59"/>
      <c r="AY31" s="59"/>
      <c r="AZ31" s="59"/>
      <c r="BA31" s="59"/>
    </row>
    <row r="32" spans="2:53" ht="14.1" customHeight="1" x14ac:dyDescent="0.25">
      <c r="B32" s="87" t="s">
        <v>197</v>
      </c>
      <c r="C32" t="s">
        <v>110</v>
      </c>
      <c r="F32" s="122">
        <v>0</v>
      </c>
      <c r="G32" s="19"/>
      <c r="H32" s="19">
        <v>0</v>
      </c>
      <c r="I32" s="19"/>
      <c r="J32" s="123">
        <v>0</v>
      </c>
      <c r="K32" s="19"/>
      <c r="L32" s="122">
        <v>0</v>
      </c>
      <c r="M32" s="19"/>
      <c r="N32" s="19">
        <v>0</v>
      </c>
      <c r="O32" s="19"/>
      <c r="P32" s="19">
        <f t="shared" si="7"/>
        <v>0</v>
      </c>
      <c r="Q32" s="239"/>
      <c r="R32" s="123">
        <v>0</v>
      </c>
      <c r="U32" s="399"/>
      <c r="W32" s="59"/>
      <c r="X32" s="59"/>
      <c r="Y32" s="59"/>
      <c r="Z32" s="59"/>
      <c r="AA32" s="59"/>
      <c r="AB32" s="59"/>
      <c r="AC32" s="59"/>
      <c r="AD32" s="59"/>
      <c r="AE32" s="90"/>
      <c r="AF32" s="90"/>
      <c r="AG32" s="90"/>
      <c r="AH32" s="91"/>
      <c r="AJ32" s="59"/>
      <c r="AK32" s="59"/>
      <c r="AL32" s="59"/>
      <c r="AM32" s="96"/>
      <c r="AN32" s="94"/>
      <c r="AO32" s="94"/>
      <c r="AP32" s="90"/>
      <c r="AQ32" s="98">
        <f t="shared" si="4"/>
        <v>0</v>
      </c>
      <c r="AR32" s="90"/>
      <c r="AS32" s="98">
        <f t="shared" si="5"/>
        <v>0</v>
      </c>
      <c r="AT32" s="98">
        <f t="shared" si="6"/>
        <v>0</v>
      </c>
      <c r="AU32" s="59"/>
      <c r="AV32" s="59"/>
      <c r="AW32" s="59"/>
      <c r="AX32" s="59"/>
      <c r="AY32" s="59"/>
      <c r="AZ32" s="59"/>
      <c r="BA32" s="59"/>
    </row>
    <row r="33" spans="2:53" x14ac:dyDescent="0.25">
      <c r="B33" s="87" t="s">
        <v>198</v>
      </c>
      <c r="C33" t="s">
        <v>222</v>
      </c>
      <c r="F33" s="122">
        <v>0</v>
      </c>
      <c r="G33" s="19"/>
      <c r="H33" s="19">
        <v>0</v>
      </c>
      <c r="I33" s="19"/>
      <c r="J33" s="123">
        <v>0</v>
      </c>
      <c r="K33" s="19"/>
      <c r="L33" s="122">
        <v>0</v>
      </c>
      <c r="M33" s="19"/>
      <c r="N33" s="19">
        <v>0</v>
      </c>
      <c r="O33" s="19"/>
      <c r="P33" s="19">
        <f t="shared" si="7"/>
        <v>0</v>
      </c>
      <c r="Q33" s="239"/>
      <c r="R33" s="123">
        <v>0</v>
      </c>
      <c r="U33" s="399"/>
      <c r="W33" s="59"/>
      <c r="X33" s="59"/>
      <c r="Y33" s="59"/>
      <c r="Z33" s="59"/>
      <c r="AA33" s="59"/>
      <c r="AB33" s="59"/>
      <c r="AC33" s="59"/>
      <c r="AD33" s="59"/>
      <c r="AE33" s="90"/>
      <c r="AF33" s="90"/>
      <c r="AG33" s="90"/>
      <c r="AH33" s="91"/>
      <c r="AJ33" s="59"/>
      <c r="AK33" s="59"/>
      <c r="AL33" s="59"/>
      <c r="AM33" s="96"/>
      <c r="AN33" s="94"/>
      <c r="AO33" s="94"/>
      <c r="AP33" s="90"/>
      <c r="AQ33" s="98">
        <f t="shared" si="4"/>
        <v>0</v>
      </c>
      <c r="AR33" s="90"/>
      <c r="AS33" s="98">
        <f t="shared" si="5"/>
        <v>0</v>
      </c>
      <c r="AT33" s="98">
        <f t="shared" si="6"/>
        <v>0</v>
      </c>
      <c r="AU33" s="59"/>
      <c r="AV33" s="59"/>
      <c r="AW33" s="59"/>
      <c r="AX33" s="59"/>
      <c r="AY33" s="59"/>
      <c r="AZ33" s="59"/>
      <c r="BA33" s="59"/>
    </row>
    <row r="34" spans="2:53" x14ac:dyDescent="0.25">
      <c r="B34" s="87" t="s">
        <v>199</v>
      </c>
      <c r="C34" t="s">
        <v>153</v>
      </c>
      <c r="F34" s="122">
        <v>432491</v>
      </c>
      <c r="G34" s="19"/>
      <c r="H34" s="19">
        <v>0</v>
      </c>
      <c r="I34" s="19"/>
      <c r="J34" s="123">
        <v>0</v>
      </c>
      <c r="K34" s="19"/>
      <c r="L34" s="122">
        <v>0</v>
      </c>
      <c r="M34" s="19"/>
      <c r="N34" s="19">
        <v>0</v>
      </c>
      <c r="O34" s="19"/>
      <c r="P34" s="19">
        <f t="shared" si="7"/>
        <v>0</v>
      </c>
      <c r="Q34" s="239"/>
      <c r="R34" s="123">
        <v>0</v>
      </c>
      <c r="U34" s="399"/>
      <c r="W34" s="59"/>
      <c r="X34" s="59"/>
      <c r="Y34" s="59"/>
      <c r="Z34" s="59"/>
      <c r="AA34" s="59"/>
      <c r="AB34" s="59"/>
      <c r="AC34" s="59"/>
      <c r="AD34" s="59"/>
      <c r="AE34" s="90"/>
      <c r="AF34" s="90"/>
      <c r="AG34" s="90"/>
      <c r="AH34" s="91"/>
      <c r="AJ34" s="59"/>
      <c r="AK34" s="59"/>
      <c r="AL34" s="59"/>
      <c r="AM34" s="96"/>
      <c r="AN34" s="94"/>
      <c r="AO34" s="94"/>
      <c r="AP34" s="90"/>
      <c r="AQ34" s="98">
        <f t="shared" si="4"/>
        <v>0</v>
      </c>
      <c r="AR34" s="90"/>
      <c r="AS34" s="98">
        <f t="shared" si="5"/>
        <v>0</v>
      </c>
      <c r="AT34" s="98">
        <f t="shared" si="6"/>
        <v>0</v>
      </c>
      <c r="AU34" s="59"/>
      <c r="AV34" s="59"/>
      <c r="AW34" s="59"/>
      <c r="AX34" s="59"/>
      <c r="AY34" s="59"/>
      <c r="AZ34" s="59"/>
      <c r="BA34" s="59"/>
    </row>
    <row r="35" spans="2:53" x14ac:dyDescent="0.25">
      <c r="B35" s="87" t="s">
        <v>200</v>
      </c>
      <c r="C35" t="s">
        <v>64</v>
      </c>
      <c r="F35" s="122">
        <v>1095</v>
      </c>
      <c r="G35" s="19"/>
      <c r="H35" s="19">
        <v>0</v>
      </c>
      <c r="I35" s="19"/>
      <c r="J35" s="123">
        <v>0</v>
      </c>
      <c r="K35" s="19"/>
      <c r="L35" s="122">
        <v>0</v>
      </c>
      <c r="M35" s="19"/>
      <c r="N35" s="19">
        <v>0</v>
      </c>
      <c r="O35" s="19"/>
      <c r="P35" s="19">
        <f t="shared" si="7"/>
        <v>0</v>
      </c>
      <c r="Q35" s="239"/>
      <c r="R35" s="123">
        <v>0</v>
      </c>
      <c r="U35" s="399"/>
      <c r="AE35" s="91"/>
      <c r="AF35" s="91"/>
      <c r="AG35" s="91"/>
      <c r="AH35" s="91"/>
      <c r="AJ35" s="59"/>
      <c r="AK35" s="59"/>
      <c r="AL35" s="59"/>
      <c r="AM35" s="96"/>
      <c r="AN35" s="94"/>
      <c r="AO35" s="94"/>
      <c r="AP35" s="90"/>
      <c r="AQ35" s="98">
        <f t="shared" si="4"/>
        <v>0</v>
      </c>
      <c r="AR35" s="90"/>
      <c r="AS35" s="98">
        <f t="shared" si="5"/>
        <v>0</v>
      </c>
      <c r="AT35" s="98">
        <f t="shared" si="6"/>
        <v>0</v>
      </c>
      <c r="AU35" s="59"/>
      <c r="AV35" s="59"/>
      <c r="AW35" s="59"/>
      <c r="AX35" s="59"/>
      <c r="AY35" s="59"/>
      <c r="AZ35" s="59"/>
      <c r="BA35" s="59"/>
    </row>
    <row r="36" spans="2:53" x14ac:dyDescent="0.25">
      <c r="B36" s="87" t="s">
        <v>201</v>
      </c>
      <c r="C36" t="s">
        <v>152</v>
      </c>
      <c r="F36" s="122">
        <v>72000</v>
      </c>
      <c r="G36" s="19"/>
      <c r="H36" s="19">
        <v>0</v>
      </c>
      <c r="I36" s="19"/>
      <c r="J36" s="123">
        <v>0</v>
      </c>
      <c r="K36" s="19"/>
      <c r="L36" s="122">
        <v>0</v>
      </c>
      <c r="M36" s="19"/>
      <c r="N36" s="19">
        <v>0</v>
      </c>
      <c r="O36" s="19"/>
      <c r="P36" s="19">
        <f t="shared" si="7"/>
        <v>0</v>
      </c>
      <c r="Q36" s="239"/>
      <c r="R36" s="123">
        <v>0</v>
      </c>
      <c r="U36" s="399"/>
      <c r="AJ36" s="59"/>
      <c r="AK36" s="59"/>
      <c r="AL36" s="59"/>
      <c r="AM36" s="96"/>
      <c r="AN36" s="94"/>
      <c r="AO36" s="94"/>
      <c r="AP36" s="90"/>
      <c r="AQ36" s="98">
        <f t="shared" si="4"/>
        <v>0</v>
      </c>
      <c r="AR36" s="90"/>
      <c r="AS36" s="98">
        <f t="shared" si="5"/>
        <v>0</v>
      </c>
      <c r="AT36" s="98">
        <f t="shared" si="6"/>
        <v>0</v>
      </c>
      <c r="AU36" s="59"/>
      <c r="AV36" s="59"/>
      <c r="AW36" s="59"/>
      <c r="AX36" s="59"/>
      <c r="AY36" s="59"/>
      <c r="AZ36" s="59"/>
      <c r="BA36" s="59"/>
    </row>
    <row r="37" spans="2:53" x14ac:dyDescent="0.25">
      <c r="B37" s="87" t="s">
        <v>202</v>
      </c>
      <c r="C37" t="s">
        <v>223</v>
      </c>
      <c r="F37" s="122">
        <v>0</v>
      </c>
      <c r="G37" s="19"/>
      <c r="H37" s="19">
        <v>0</v>
      </c>
      <c r="I37" s="19"/>
      <c r="J37" s="123">
        <v>0</v>
      </c>
      <c r="K37" s="19"/>
      <c r="L37" s="122">
        <v>0</v>
      </c>
      <c r="M37" s="19"/>
      <c r="N37" s="19">
        <v>0</v>
      </c>
      <c r="O37" s="19"/>
      <c r="P37" s="19">
        <f t="shared" si="7"/>
        <v>0</v>
      </c>
      <c r="Q37" s="239"/>
      <c r="R37" s="123">
        <v>0</v>
      </c>
      <c r="U37" s="399"/>
      <c r="AJ37" s="59"/>
      <c r="AK37" s="59"/>
      <c r="AL37" s="59"/>
      <c r="AM37" s="96"/>
      <c r="AN37" s="94"/>
      <c r="AO37" s="94"/>
      <c r="AP37" s="90"/>
      <c r="AQ37" s="98">
        <f t="shared" si="4"/>
        <v>0</v>
      </c>
      <c r="AR37" s="90"/>
      <c r="AS37" s="98">
        <f t="shared" si="5"/>
        <v>0</v>
      </c>
      <c r="AT37" s="98">
        <f t="shared" si="6"/>
        <v>0</v>
      </c>
      <c r="AU37" s="59"/>
      <c r="AV37" s="59"/>
      <c r="AW37" s="59"/>
      <c r="AX37" s="59"/>
      <c r="AY37" s="59"/>
      <c r="AZ37" s="59"/>
      <c r="BA37" s="59"/>
    </row>
    <row r="38" spans="2:53" x14ac:dyDescent="0.25">
      <c r="B38" s="87" t="s">
        <v>203</v>
      </c>
      <c r="C38" t="s">
        <v>224</v>
      </c>
      <c r="F38" s="131">
        <v>120585</v>
      </c>
      <c r="G38" s="19"/>
      <c r="H38" s="132">
        <v>0</v>
      </c>
      <c r="I38" s="19"/>
      <c r="J38" s="133">
        <v>0</v>
      </c>
      <c r="K38" s="19"/>
      <c r="L38" s="131">
        <v>0</v>
      </c>
      <c r="M38" s="19"/>
      <c r="N38" s="132">
        <v>0</v>
      </c>
      <c r="O38" s="19"/>
      <c r="P38" s="132">
        <f t="shared" si="7"/>
        <v>0</v>
      </c>
      <c r="Q38" s="239"/>
      <c r="R38" s="133">
        <v>0</v>
      </c>
      <c r="U38" s="399"/>
      <c r="AJ38" s="59"/>
      <c r="AK38" s="59"/>
      <c r="AL38" s="59"/>
      <c r="AM38" s="96"/>
      <c r="AN38" s="94"/>
      <c r="AO38" s="94"/>
      <c r="AP38" s="90"/>
      <c r="AQ38" s="98">
        <f t="shared" si="4"/>
        <v>0</v>
      </c>
      <c r="AR38" s="90"/>
      <c r="AS38" s="98">
        <f t="shared" si="5"/>
        <v>0</v>
      </c>
      <c r="AT38" s="98">
        <f t="shared" si="6"/>
        <v>0</v>
      </c>
      <c r="AU38" s="59"/>
      <c r="AV38" s="59"/>
      <c r="AW38" s="59"/>
      <c r="AX38" s="59"/>
      <c r="AY38" s="59"/>
      <c r="AZ38" s="59"/>
      <c r="BA38" s="59"/>
    </row>
    <row r="39" spans="2:53" x14ac:dyDescent="0.25">
      <c r="B39" s="7" t="s">
        <v>50</v>
      </c>
      <c r="F39" s="122">
        <f>SUM(F28:F38)</f>
        <v>626171</v>
      </c>
      <c r="G39" s="19"/>
      <c r="H39" s="19">
        <f>SUM(H28:H38)</f>
        <v>0</v>
      </c>
      <c r="I39" s="19"/>
      <c r="J39" s="123">
        <f>SUM(J28:J38)</f>
        <v>0</v>
      </c>
      <c r="K39" s="19"/>
      <c r="L39" s="122">
        <f>SUM(L28:L38)</f>
        <v>0</v>
      </c>
      <c r="M39" s="19"/>
      <c r="N39" s="19">
        <f>SUM(N28:N38)</f>
        <v>0</v>
      </c>
      <c r="O39" s="19"/>
      <c r="P39" s="19">
        <f>SUM(P28:P38)</f>
        <v>0</v>
      </c>
      <c r="Q39" s="239"/>
      <c r="R39" s="123">
        <f>SUM(R28:R38)</f>
        <v>0</v>
      </c>
      <c r="U39" s="399"/>
      <c r="AJ39" s="59"/>
      <c r="AK39" s="59"/>
      <c r="AL39" s="59"/>
      <c r="AM39" s="96"/>
      <c r="AN39" s="94"/>
      <c r="AO39" s="94"/>
      <c r="AP39" s="90"/>
      <c r="AQ39" s="98">
        <f t="shared" si="4"/>
        <v>0</v>
      </c>
      <c r="AR39" s="90"/>
      <c r="AS39" s="98">
        <f t="shared" si="5"/>
        <v>0</v>
      </c>
      <c r="AT39" s="98">
        <f t="shared" si="6"/>
        <v>0</v>
      </c>
      <c r="AU39" s="59"/>
      <c r="AV39" s="59"/>
      <c r="AW39" s="59"/>
      <c r="AX39" s="59"/>
      <c r="AY39" s="59"/>
      <c r="AZ39" s="59"/>
      <c r="BA39" s="59"/>
    </row>
    <row r="40" spans="2:53" x14ac:dyDescent="0.25">
      <c r="F40" s="122"/>
      <c r="G40" s="19"/>
      <c r="H40" s="19"/>
      <c r="I40" s="19"/>
      <c r="J40" s="123"/>
      <c r="K40" s="19"/>
      <c r="L40" s="122"/>
      <c r="M40" s="19"/>
      <c r="N40" s="19"/>
      <c r="O40" s="19"/>
      <c r="P40" s="19"/>
      <c r="Q40" s="239"/>
      <c r="R40" s="123"/>
      <c r="U40" s="399"/>
      <c r="AJ40" s="59"/>
      <c r="AK40" s="59"/>
      <c r="AL40" s="59"/>
      <c r="AM40" s="96"/>
      <c r="AN40" s="94"/>
      <c r="AO40" s="94"/>
      <c r="AP40" s="90"/>
      <c r="AQ40" s="98">
        <f t="shared" si="4"/>
        <v>0</v>
      </c>
      <c r="AR40" s="90"/>
      <c r="AS40" s="98">
        <f t="shared" si="5"/>
        <v>0</v>
      </c>
      <c r="AT40" s="98">
        <f t="shared" si="6"/>
        <v>0</v>
      </c>
      <c r="AU40" s="59"/>
      <c r="AV40" s="59"/>
      <c r="AW40" s="59"/>
      <c r="AX40" s="59"/>
      <c r="AY40" s="59"/>
      <c r="AZ40" s="59"/>
      <c r="BA40" s="59"/>
    </row>
    <row r="41" spans="2:53" ht="15.75" thickBot="1" x14ac:dyDescent="0.3">
      <c r="D41" s="53" t="s">
        <v>193</v>
      </c>
      <c r="F41" s="134">
        <f>+F24-F39</f>
        <v>-152882</v>
      </c>
      <c r="G41" s="135"/>
      <c r="H41" s="135">
        <f>+H24-H39</f>
        <v>0</v>
      </c>
      <c r="I41" s="135"/>
      <c r="J41" s="136">
        <f>+J24-J39</f>
        <v>0</v>
      </c>
      <c r="K41" s="135"/>
      <c r="L41" s="134">
        <f>+L24-L39</f>
        <v>0</v>
      </c>
      <c r="M41" s="135"/>
      <c r="N41" s="135">
        <f>+N24-N39</f>
        <v>0</v>
      </c>
      <c r="O41" s="135"/>
      <c r="P41" s="135">
        <f>+P24-P39</f>
        <v>0</v>
      </c>
      <c r="Q41" s="243"/>
      <c r="R41" s="136">
        <f>+R24-R39</f>
        <v>0</v>
      </c>
      <c r="U41" s="399"/>
      <c r="AJ41" s="59"/>
      <c r="AK41" s="59"/>
      <c r="AL41" s="59"/>
      <c r="AM41" s="96"/>
      <c r="AN41" s="94"/>
      <c r="AO41" s="94"/>
      <c r="AP41" s="90"/>
      <c r="AQ41" s="98">
        <f t="shared" si="4"/>
        <v>0</v>
      </c>
      <c r="AR41" s="90"/>
      <c r="AS41" s="98">
        <f t="shared" si="5"/>
        <v>0</v>
      </c>
      <c r="AT41" s="98">
        <f t="shared" si="6"/>
        <v>0</v>
      </c>
      <c r="AU41" s="59"/>
      <c r="AV41" s="59"/>
      <c r="AW41" s="59"/>
      <c r="AX41" s="59"/>
      <c r="AY41" s="59"/>
      <c r="AZ41" s="59"/>
      <c r="BA41" s="59"/>
    </row>
    <row r="42" spans="2:53" ht="15.75" thickTop="1" x14ac:dyDescent="0.25">
      <c r="F42" s="122"/>
      <c r="G42" s="19"/>
      <c r="H42" s="19"/>
      <c r="I42" s="19"/>
      <c r="J42" s="123"/>
      <c r="K42" s="19"/>
      <c r="L42" s="122"/>
      <c r="M42" s="19"/>
      <c r="N42" s="19"/>
      <c r="O42" s="19"/>
      <c r="P42" s="19"/>
      <c r="Q42" s="239"/>
      <c r="R42" s="123"/>
      <c r="U42" s="399"/>
      <c r="AJ42" s="59"/>
      <c r="AK42" s="59"/>
      <c r="AL42" s="59"/>
      <c r="AM42" s="96"/>
      <c r="AN42" s="94"/>
      <c r="AO42" s="94"/>
      <c r="AP42" s="90"/>
      <c r="AQ42" s="98">
        <f t="shared" si="4"/>
        <v>0</v>
      </c>
      <c r="AR42" s="90"/>
      <c r="AS42" s="98">
        <f t="shared" si="5"/>
        <v>0</v>
      </c>
      <c r="AT42" s="98">
        <f t="shared" si="6"/>
        <v>0</v>
      </c>
      <c r="AU42" s="59"/>
      <c r="AV42" s="59"/>
      <c r="AW42" s="59"/>
      <c r="AX42" s="59"/>
      <c r="AY42" s="59"/>
      <c r="AZ42" s="59"/>
      <c r="BA42" s="59"/>
    </row>
    <row r="43" spans="2:53" ht="15.75" thickBot="1" x14ac:dyDescent="0.3">
      <c r="B43" s="7" t="s">
        <v>53</v>
      </c>
      <c r="F43" s="122"/>
      <c r="G43" s="19"/>
      <c r="H43" s="19"/>
      <c r="I43" s="19"/>
      <c r="J43" s="123"/>
      <c r="K43" s="19"/>
      <c r="L43" s="122"/>
      <c r="M43" s="19"/>
      <c r="N43" s="19"/>
      <c r="O43" s="19"/>
      <c r="P43" s="19"/>
      <c r="Q43" s="239"/>
      <c r="R43" s="123"/>
      <c r="U43" s="399"/>
      <c r="W43" s="186" t="s">
        <v>301</v>
      </c>
      <c r="X43" s="186"/>
      <c r="Y43" s="186"/>
      <c r="Z43" s="177"/>
      <c r="AJ43" s="59"/>
      <c r="AK43" s="59"/>
      <c r="AL43" s="59"/>
      <c r="AM43" s="96"/>
      <c r="AN43" s="94"/>
      <c r="AO43" s="94"/>
      <c r="AP43" s="90"/>
      <c r="AQ43" s="98">
        <f t="shared" si="4"/>
        <v>0</v>
      </c>
      <c r="AR43" s="90"/>
      <c r="AS43" s="98">
        <f t="shared" si="5"/>
        <v>0</v>
      </c>
      <c r="AT43" s="98">
        <f t="shared" si="6"/>
        <v>0</v>
      </c>
      <c r="AU43" s="59"/>
      <c r="AV43" s="59"/>
      <c r="AW43" s="59"/>
      <c r="AX43" s="59"/>
      <c r="AY43" s="59"/>
      <c r="AZ43" s="59"/>
      <c r="BA43" s="59"/>
    </row>
    <row r="44" spans="2:53" ht="15.75" thickBot="1" x14ac:dyDescent="0.3">
      <c r="B44" s="7">
        <v>6724</v>
      </c>
      <c r="C44" t="s">
        <v>261</v>
      </c>
      <c r="F44" s="122">
        <f>+F8</f>
        <v>152882</v>
      </c>
      <c r="G44" s="19"/>
      <c r="H44" s="19">
        <f>+H8</f>
        <v>0</v>
      </c>
      <c r="I44" s="19"/>
      <c r="J44" s="123">
        <f>+J8</f>
        <v>0</v>
      </c>
      <c r="K44" s="19"/>
      <c r="L44" s="122">
        <f>+L8</f>
        <v>0</v>
      </c>
      <c r="M44" s="19"/>
      <c r="N44" s="19">
        <f>+N8</f>
        <v>0</v>
      </c>
      <c r="O44" s="19"/>
      <c r="P44" s="19">
        <f t="shared" ref="P44:P45" si="8">R44-L44</f>
        <v>0</v>
      </c>
      <c r="Q44" s="239"/>
      <c r="R44" s="123">
        <f>+R8</f>
        <v>0</v>
      </c>
      <c r="U44" s="399"/>
      <c r="W44" s="112" t="s">
        <v>310</v>
      </c>
      <c r="X44" s="112" t="s">
        <v>292</v>
      </c>
      <c r="Y44" s="112" t="s">
        <v>277</v>
      </c>
      <c r="Z44" s="112" t="s">
        <v>318</v>
      </c>
      <c r="AA44" s="112" t="s">
        <v>127</v>
      </c>
      <c r="AB44" s="112" t="s">
        <v>276</v>
      </c>
      <c r="AC44" s="112" t="s">
        <v>278</v>
      </c>
      <c r="AD44" s="183" t="s">
        <v>317</v>
      </c>
      <c r="AE44" s="184"/>
      <c r="AF44" s="185"/>
      <c r="AG44" s="402" t="s">
        <v>303</v>
      </c>
      <c r="AH44" s="403"/>
      <c r="AI44" s="403"/>
      <c r="AJ44" s="403"/>
      <c r="AK44" s="59"/>
      <c r="AL44" s="59"/>
      <c r="AM44" s="96"/>
      <c r="AN44" s="94"/>
      <c r="AO44" s="94"/>
      <c r="AP44" s="90"/>
      <c r="AQ44" s="98">
        <f t="shared" si="4"/>
        <v>0</v>
      </c>
      <c r="AR44" s="90"/>
      <c r="AS44" s="98">
        <f t="shared" si="5"/>
        <v>0</v>
      </c>
      <c r="AT44" s="98">
        <f t="shared" si="6"/>
        <v>0</v>
      </c>
      <c r="AU44" s="59"/>
      <c r="AV44" s="59"/>
      <c r="AW44" s="59"/>
      <c r="AX44" s="59"/>
      <c r="AY44" s="59"/>
      <c r="AZ44" s="59"/>
      <c r="BA44" s="59"/>
    </row>
    <row r="45" spans="2:53" ht="15.75" thickBot="1" x14ac:dyDescent="0.3">
      <c r="B45" s="7">
        <v>6725</v>
      </c>
      <c r="C45" t="s">
        <v>284</v>
      </c>
      <c r="F45" s="122">
        <v>0</v>
      </c>
      <c r="G45" s="19"/>
      <c r="H45" s="19">
        <v>0</v>
      </c>
      <c r="I45" s="19"/>
      <c r="J45" s="123">
        <v>0</v>
      </c>
      <c r="K45" s="19"/>
      <c r="L45" s="122">
        <f>+L9</f>
        <v>0</v>
      </c>
      <c r="M45" s="19"/>
      <c r="N45" s="19">
        <f>+N9</f>
        <v>0</v>
      </c>
      <c r="O45" s="19"/>
      <c r="P45" s="19">
        <f t="shared" si="8"/>
        <v>0</v>
      </c>
      <c r="Q45" s="239"/>
      <c r="R45" s="123">
        <f>+R9</f>
        <v>0</v>
      </c>
      <c r="W45" s="112" t="s">
        <v>310</v>
      </c>
      <c r="X45" s="112" t="s">
        <v>292</v>
      </c>
      <c r="Y45" s="112" t="s">
        <v>277</v>
      </c>
      <c r="Z45" s="112" t="s">
        <v>316</v>
      </c>
      <c r="AA45" s="112" t="s">
        <v>127</v>
      </c>
      <c r="AB45" s="112" t="s">
        <v>276</v>
      </c>
      <c r="AC45" s="112" t="s">
        <v>278</v>
      </c>
      <c r="AD45" s="183" t="s">
        <v>319</v>
      </c>
      <c r="AE45" s="184"/>
      <c r="AF45" s="185"/>
      <c r="AG45" s="402" t="s">
        <v>303</v>
      </c>
      <c r="AH45" s="403"/>
      <c r="AI45" s="403"/>
      <c r="AJ45" s="403"/>
      <c r="AK45" s="59"/>
      <c r="AL45" s="59"/>
      <c r="AM45" s="96"/>
      <c r="AN45" s="94"/>
      <c r="AO45" s="94"/>
      <c r="AP45" s="90"/>
      <c r="AQ45" s="98">
        <f t="shared" si="4"/>
        <v>0</v>
      </c>
      <c r="AR45" s="90"/>
      <c r="AS45" s="98">
        <f t="shared" si="5"/>
        <v>0</v>
      </c>
      <c r="AT45" s="98">
        <f t="shared" si="6"/>
        <v>0</v>
      </c>
      <c r="AU45" s="59"/>
      <c r="AV45" s="59"/>
      <c r="AW45" s="59"/>
      <c r="AX45" s="59"/>
      <c r="AY45" s="59"/>
      <c r="AZ45" s="59"/>
      <c r="BA45" s="59"/>
    </row>
    <row r="46" spans="2:53" ht="15.75" thickBot="1" x14ac:dyDescent="0.3">
      <c r="B46" s="7">
        <v>6760</v>
      </c>
      <c r="C46" t="s">
        <v>262</v>
      </c>
      <c r="F46" s="131">
        <f>F11+F41-F44</f>
        <v>-152882</v>
      </c>
      <c r="G46" s="19"/>
      <c r="H46" s="132">
        <f>H11+H41-H44</f>
        <v>0</v>
      </c>
      <c r="I46" s="19"/>
      <c r="J46" s="133">
        <f>J11+J41-J44</f>
        <v>0</v>
      </c>
      <c r="K46" s="19"/>
      <c r="L46" s="122">
        <f>L11+L24-L39-L44-L45</f>
        <v>0</v>
      </c>
      <c r="M46" s="19"/>
      <c r="N46" s="19">
        <f>N11+N24-N39-N44-N45</f>
        <v>0</v>
      </c>
      <c r="O46" s="19"/>
      <c r="P46" s="19">
        <f t="shared" ref="P46" si="9">R46-L46</f>
        <v>0</v>
      </c>
      <c r="Q46" s="239"/>
      <c r="R46" s="123">
        <f>R11+R24-R39-R44-R45</f>
        <v>0</v>
      </c>
      <c r="W46" s="112" t="s">
        <v>310</v>
      </c>
      <c r="X46" s="112" t="s">
        <v>292</v>
      </c>
      <c r="Y46" s="112" t="s">
        <v>277</v>
      </c>
      <c r="Z46" s="112" t="s">
        <v>356</v>
      </c>
      <c r="AA46" s="112" t="s">
        <v>127</v>
      </c>
      <c r="AB46" s="112" t="s">
        <v>276</v>
      </c>
      <c r="AC46" s="112" t="s">
        <v>278</v>
      </c>
      <c r="AD46" s="183" t="s">
        <v>320</v>
      </c>
      <c r="AE46" s="184"/>
      <c r="AF46" s="185"/>
      <c r="AG46" s="402" t="s">
        <v>303</v>
      </c>
      <c r="AH46" s="403"/>
      <c r="AI46" s="403"/>
      <c r="AJ46" s="403"/>
      <c r="AL46" s="7" t="s">
        <v>239</v>
      </c>
      <c r="AM46" s="113">
        <f>SUM(AM21:AM45)</f>
        <v>0</v>
      </c>
      <c r="AN46" s="114"/>
      <c r="AO46" s="114"/>
      <c r="AP46" s="115">
        <f>SUM(AP21:AP45)</f>
        <v>0</v>
      </c>
      <c r="AQ46" s="115">
        <f>SUM(AQ21:AQ45)</f>
        <v>0</v>
      </c>
      <c r="AR46" s="115">
        <f>SUM(AR21:AR45)</f>
        <v>0</v>
      </c>
      <c r="AS46" s="115">
        <f>SUM(AS21:AS45)</f>
        <v>0</v>
      </c>
      <c r="AT46" s="115">
        <f>SUM(AT21:AT45)</f>
        <v>0</v>
      </c>
    </row>
    <row r="47" spans="2:53" ht="15.75" thickBot="1" x14ac:dyDescent="0.3">
      <c r="B47" s="7" t="s">
        <v>137</v>
      </c>
      <c r="F47" s="137">
        <f>SUM(F43:F46)</f>
        <v>0</v>
      </c>
      <c r="G47" s="138"/>
      <c r="H47" s="138">
        <f>SUM(H43:H46)</f>
        <v>0</v>
      </c>
      <c r="I47" s="138"/>
      <c r="J47" s="140">
        <f>SUM(J43:J46)</f>
        <v>0</v>
      </c>
      <c r="K47" s="19"/>
      <c r="L47" s="144">
        <f>SUM(L43:L46)</f>
        <v>0</v>
      </c>
      <c r="M47" s="145"/>
      <c r="N47" s="145">
        <f>SUM(N43:N46)</f>
        <v>0</v>
      </c>
      <c r="O47" s="145"/>
      <c r="P47" s="145">
        <f>SUM(P43:P46)</f>
        <v>0</v>
      </c>
      <c r="Q47" s="239"/>
      <c r="R47" s="139">
        <f>SUM(R43:R46)</f>
        <v>0</v>
      </c>
    </row>
    <row r="48" spans="2:53" ht="15.6" customHeight="1" thickBot="1" x14ac:dyDescent="0.3">
      <c r="F48" s="105"/>
      <c r="G48" s="105"/>
      <c r="H48" s="105"/>
      <c r="I48" s="105"/>
      <c r="J48" s="53"/>
      <c r="K48" s="105"/>
      <c r="M48" s="105"/>
      <c r="N48" s="105"/>
      <c r="O48" s="105"/>
      <c r="P48" s="105"/>
      <c r="Q48" s="105"/>
      <c r="R48" s="105"/>
    </row>
    <row r="49" spans="6:18" ht="15.75" thickBot="1" x14ac:dyDescent="0.3">
      <c r="F49" s="105"/>
      <c r="G49" s="105"/>
      <c r="H49" s="105"/>
      <c r="I49" s="105"/>
      <c r="J49" s="53" t="s">
        <v>268</v>
      </c>
      <c r="K49" s="105"/>
      <c r="L49" s="143">
        <f>+L47+L39</f>
        <v>0</v>
      </c>
      <c r="M49" s="88"/>
      <c r="N49" s="88"/>
      <c r="O49" s="88"/>
      <c r="P49" s="88"/>
      <c r="Q49" s="105"/>
      <c r="R49" s="143">
        <f>+R47+R39</f>
        <v>0</v>
      </c>
    </row>
  </sheetData>
  <mergeCells count="8">
    <mergeCell ref="AG45:AJ45"/>
    <mergeCell ref="AG46:AJ46"/>
    <mergeCell ref="AU17:BA17"/>
    <mergeCell ref="W18:AC18"/>
    <mergeCell ref="AU18:BA18"/>
    <mergeCell ref="U1:U44"/>
    <mergeCell ref="W17:AC17"/>
    <mergeCell ref="AG44:AJ44"/>
  </mergeCells>
  <pageMargins left="0.39" right="0.32" top="0.47" bottom="0.53" header="0.3" footer="0.24"/>
  <pageSetup scale="73" orientation="portrait" r:id="rId1"/>
  <headerFooter>
    <oddFooter>&amp;L&amp;D &amp;F&amp;C22&amp;R&amp;A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137B-4208-4156-9A49-049CD7ADA31A}">
  <sheetPr>
    <pageSetUpPr fitToPage="1"/>
  </sheetPr>
  <dimension ref="A1:AZ46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7.14062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4.42578125" hidden="1" customWidth="1"/>
    <col min="31" max="31" width="18" hidden="1" customWidth="1"/>
    <col min="32" max="32" width="21.42578125" hidden="1" customWidth="1"/>
    <col min="33" max="33" width="16.140625" hidden="1" customWidth="1"/>
    <col min="34" max="34" width="14.42578125" hidden="1" customWidth="1"/>
    <col min="35" max="35" width="0" hidden="1" customWidth="1"/>
    <col min="36" max="36" width="13.85546875" hidden="1" customWidth="1"/>
    <col min="37" max="41" width="0" hidden="1" customWidth="1"/>
    <col min="42" max="42" width="12.42578125" hidden="1" customWidth="1"/>
    <col min="43" max="43" width="10" hidden="1" customWidth="1"/>
    <col min="44" max="44" width="20.42578125" hidden="1" customWidth="1"/>
    <col min="45" max="45" width="18.140625" hidden="1" customWidth="1"/>
    <col min="46" max="51" width="0" hidden="1" customWidth="1"/>
    <col min="52" max="52" width="12.85546875" hidden="1" customWidth="1"/>
    <col min="53" max="54" width="0" hidden="1" customWidth="1"/>
  </cols>
  <sheetData>
    <row r="1" spans="1:52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52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</row>
    <row r="3" spans="1:52" ht="16.5" thickBot="1" x14ac:dyDescent="0.3">
      <c r="A3" s="4" t="s">
        <v>431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400" t="s">
        <v>173</v>
      </c>
      <c r="X3" s="400"/>
      <c r="Y3" s="400"/>
      <c r="Z3" s="400"/>
      <c r="AA3" s="400"/>
      <c r="AB3" s="400"/>
      <c r="AC3" s="400"/>
      <c r="AI3" s="59"/>
      <c r="AJ3" s="59"/>
      <c r="AK3" s="59"/>
      <c r="AL3" s="5"/>
      <c r="AM3" s="5"/>
      <c r="AN3" s="5"/>
      <c r="AO3" s="5"/>
      <c r="AT3" s="400" t="s">
        <v>173</v>
      </c>
      <c r="AU3" s="400"/>
      <c r="AV3" s="400"/>
      <c r="AW3" s="400"/>
      <c r="AX3" s="400"/>
      <c r="AY3" s="400"/>
      <c r="AZ3" s="400"/>
    </row>
    <row r="4" spans="1:52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401" t="s">
        <v>273</v>
      </c>
      <c r="X4" s="401"/>
      <c r="Y4" s="401"/>
      <c r="Z4" s="401"/>
      <c r="AA4" s="401"/>
      <c r="AB4" s="401"/>
      <c r="AC4" s="401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  <c r="AI4" s="104"/>
      <c r="AJ4" s="104"/>
      <c r="AK4" s="59"/>
      <c r="AL4" s="96"/>
      <c r="AM4" s="94"/>
      <c r="AN4" s="94"/>
      <c r="AO4" s="101" t="s">
        <v>238</v>
      </c>
      <c r="AP4" s="103">
        <f>+BudgetAssump!$K$23+BudgetAssump!K24</f>
        <v>0.22850000000000001</v>
      </c>
      <c r="AQ4" s="90"/>
      <c r="AR4" s="205" t="s">
        <v>236</v>
      </c>
      <c r="AS4" s="205"/>
      <c r="AT4" s="401" t="s">
        <v>272</v>
      </c>
      <c r="AU4" s="401"/>
      <c r="AV4" s="401"/>
      <c r="AW4" s="401"/>
      <c r="AX4" s="401"/>
      <c r="AY4" s="401"/>
      <c r="AZ4" s="401"/>
    </row>
    <row r="5" spans="1:52" ht="17.4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0" t="str">
        <f>'DPGF 22'!P5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  <c r="AI5" s="59" t="s">
        <v>231</v>
      </c>
      <c r="AJ5" s="59" t="s">
        <v>231</v>
      </c>
      <c r="AK5" s="59" t="s">
        <v>231</v>
      </c>
      <c r="AL5" s="96" t="s">
        <v>232</v>
      </c>
      <c r="AM5" s="96" t="s">
        <v>232</v>
      </c>
      <c r="AN5" s="96" t="s">
        <v>232</v>
      </c>
      <c r="AO5" s="90" t="s">
        <v>232</v>
      </c>
      <c r="AP5" s="205" t="s">
        <v>232</v>
      </c>
      <c r="AQ5" s="90" t="s">
        <v>232</v>
      </c>
      <c r="AR5" s="205" t="s">
        <v>232</v>
      </c>
      <c r="AS5" s="205"/>
      <c r="AT5" s="90" t="s">
        <v>231</v>
      </c>
      <c r="AU5" s="90" t="s">
        <v>231</v>
      </c>
      <c r="AV5" s="90" t="s">
        <v>231</v>
      </c>
      <c r="AW5" s="90" t="s">
        <v>231</v>
      </c>
      <c r="AX5" s="90" t="s">
        <v>231</v>
      </c>
      <c r="AY5" s="90" t="s">
        <v>231</v>
      </c>
      <c r="AZ5" s="59" t="s">
        <v>231</v>
      </c>
    </row>
    <row r="6" spans="1:52" ht="15.6" customHeight="1" thickBot="1" x14ac:dyDescent="0.3">
      <c r="F6" s="223" t="str">
        <f>'GF Summary 10'!$F$7</f>
        <v>FY 22-23</v>
      </c>
      <c r="G6" s="224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'DPGF 22'!P6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70" t="e">
        <f>+#REF!</f>
        <v>#REF!</v>
      </c>
      <c r="AF6" s="70" t="e">
        <f>+#REF!</f>
        <v>#REF!</v>
      </c>
      <c r="AG6" s="70" t="e">
        <f>+#REF!</f>
        <v>#REF!</v>
      </c>
      <c r="AH6" s="70" t="e">
        <f>+#REF!</f>
        <v>#REF!</v>
      </c>
      <c r="AI6" s="102" t="s">
        <v>138</v>
      </c>
      <c r="AJ6" s="102" t="s">
        <v>150</v>
      </c>
      <c r="AK6" s="102" t="s">
        <v>235</v>
      </c>
      <c r="AL6" s="97" t="s">
        <v>140</v>
      </c>
      <c r="AM6" s="95" t="s">
        <v>141</v>
      </c>
      <c r="AN6" s="95" t="s">
        <v>142</v>
      </c>
      <c r="AO6" s="93" t="s">
        <v>143</v>
      </c>
      <c r="AP6" s="99" t="s">
        <v>161</v>
      </c>
      <c r="AQ6" s="93" t="s">
        <v>162</v>
      </c>
      <c r="AR6" s="99" t="s">
        <v>283</v>
      </c>
      <c r="AS6" s="99" t="s">
        <v>237</v>
      </c>
      <c r="AT6" s="206" t="s">
        <v>144</v>
      </c>
      <c r="AU6" s="206" t="s">
        <v>139</v>
      </c>
      <c r="AV6" s="206" t="s">
        <v>145</v>
      </c>
      <c r="AW6" s="206" t="s">
        <v>146</v>
      </c>
      <c r="AX6" s="206" t="s">
        <v>147</v>
      </c>
      <c r="AY6" s="206" t="s">
        <v>148</v>
      </c>
      <c r="AZ6" s="102" t="s">
        <v>149</v>
      </c>
    </row>
    <row r="7" spans="1:52" x14ac:dyDescent="0.25">
      <c r="B7" s="7" t="s">
        <v>29</v>
      </c>
      <c r="F7" s="129"/>
      <c r="G7" s="128"/>
      <c r="H7" s="128"/>
      <c r="I7" s="128"/>
      <c r="J7" s="130"/>
      <c r="K7" s="19"/>
      <c r="L7" s="129"/>
      <c r="M7" s="128"/>
      <c r="N7" s="128"/>
      <c r="O7" s="128"/>
      <c r="P7" s="128"/>
      <c r="Q7" s="239"/>
      <c r="R7" s="130"/>
      <c r="S7" s="5"/>
      <c r="U7" s="399"/>
      <c r="W7" s="59"/>
      <c r="X7" s="59"/>
      <c r="Y7" s="59"/>
      <c r="Z7" s="59"/>
      <c r="AA7" s="59"/>
      <c r="AB7" s="59"/>
      <c r="AC7" s="59"/>
      <c r="AD7" s="59"/>
      <c r="AE7" s="90"/>
      <c r="AF7" s="90"/>
      <c r="AG7" s="91"/>
      <c r="AI7" s="59"/>
      <c r="AJ7" s="59"/>
      <c r="AK7" s="59"/>
      <c r="AL7" s="96"/>
      <c r="AM7" s="94"/>
      <c r="AN7" s="94"/>
      <c r="AO7" s="90"/>
      <c r="AP7" s="205">
        <f>+AO7*AP$4</f>
        <v>0</v>
      </c>
      <c r="AQ7" s="90"/>
      <c r="AR7" s="205">
        <f>AP7+AQ7</f>
        <v>0</v>
      </c>
      <c r="AS7" s="205">
        <f>+AR7+AO7</f>
        <v>0</v>
      </c>
      <c r="AT7" s="59"/>
      <c r="AU7" s="59"/>
      <c r="AV7" s="59"/>
      <c r="AW7" s="59"/>
      <c r="AX7" s="59"/>
      <c r="AY7" s="59"/>
      <c r="AZ7" s="59"/>
    </row>
    <row r="8" spans="1:52" x14ac:dyDescent="0.25">
      <c r="C8" t="s">
        <v>211</v>
      </c>
      <c r="F8" s="131">
        <v>0</v>
      </c>
      <c r="G8" s="19"/>
      <c r="H8" s="132">
        <v>707822</v>
      </c>
      <c r="I8" s="19"/>
      <c r="J8" s="133">
        <v>4813056</v>
      </c>
      <c r="K8" s="19"/>
      <c r="L8" s="131">
        <v>0</v>
      </c>
      <c r="M8" s="19"/>
      <c r="N8" s="132">
        <v>0</v>
      </c>
      <c r="O8" s="19"/>
      <c r="P8" s="132">
        <f>R8-L8</f>
        <v>0</v>
      </c>
      <c r="Q8" s="239"/>
      <c r="R8" s="133">
        <v>0</v>
      </c>
      <c r="S8" s="5"/>
      <c r="U8" s="39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2"/>
      <c r="AI8" s="59"/>
      <c r="AJ8" s="59"/>
      <c r="AK8" s="59"/>
      <c r="AL8" s="96"/>
      <c r="AM8" s="94"/>
      <c r="AN8" s="94"/>
      <c r="AO8" s="90"/>
      <c r="AP8" s="205">
        <f t="shared" ref="AP8:AP40" si="0">+AO8*AP$4</f>
        <v>0</v>
      </c>
      <c r="AQ8" s="90"/>
      <c r="AR8" s="205">
        <f t="shared" ref="AR8:AR40" si="1">AP8+AQ8</f>
        <v>0</v>
      </c>
      <c r="AS8" s="205">
        <f t="shared" ref="AS8:AS40" si="2">+AR8+AO8</f>
        <v>0</v>
      </c>
      <c r="AT8" s="59"/>
      <c r="AU8" s="59"/>
      <c r="AV8" s="59"/>
      <c r="AW8" s="59"/>
      <c r="AX8" s="59"/>
      <c r="AY8" s="59"/>
      <c r="AZ8" s="59"/>
    </row>
    <row r="9" spans="1:52" x14ac:dyDescent="0.25">
      <c r="B9" s="7" t="s">
        <v>31</v>
      </c>
      <c r="F9" s="122">
        <f>SUM(F8:F8)</f>
        <v>0</v>
      </c>
      <c r="G9" s="19"/>
      <c r="H9" s="19">
        <f>SUM(H8:H8)</f>
        <v>707822</v>
      </c>
      <c r="I9" s="19"/>
      <c r="J9" s="123">
        <f>SUM(J8:J8)</f>
        <v>4813056</v>
      </c>
      <c r="K9" s="19"/>
      <c r="L9" s="122">
        <f>SUM(L8:L8)</f>
        <v>0</v>
      </c>
      <c r="M9" s="19"/>
      <c r="N9" s="19">
        <f>SUM(N8:N8)</f>
        <v>0</v>
      </c>
      <c r="O9" s="19"/>
      <c r="P9" s="19">
        <f>SUM(P8:P8)</f>
        <v>0</v>
      </c>
      <c r="Q9" s="239"/>
      <c r="R9" s="123">
        <f>SUM(R8:R8)</f>
        <v>0</v>
      </c>
      <c r="S9" s="5"/>
      <c r="U9" s="39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2"/>
      <c r="AI9" s="59"/>
      <c r="AJ9" s="59"/>
      <c r="AK9" s="59"/>
      <c r="AL9" s="96"/>
      <c r="AM9" s="94"/>
      <c r="AN9" s="94"/>
      <c r="AO9" s="90"/>
      <c r="AP9" s="205">
        <f t="shared" si="0"/>
        <v>0</v>
      </c>
      <c r="AQ9" s="90"/>
      <c r="AR9" s="205">
        <f t="shared" si="1"/>
        <v>0</v>
      </c>
      <c r="AS9" s="205">
        <f t="shared" si="2"/>
        <v>0</v>
      </c>
      <c r="AT9" s="59"/>
      <c r="AU9" s="59"/>
      <c r="AV9" s="59"/>
      <c r="AW9" s="59"/>
      <c r="AX9" s="59"/>
      <c r="AY9" s="59"/>
      <c r="AZ9" s="59"/>
    </row>
    <row r="10" spans="1:52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39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2"/>
      <c r="AI10" s="59"/>
      <c r="AJ10" s="59"/>
      <c r="AK10" s="59"/>
      <c r="AL10" s="96"/>
      <c r="AM10" s="94"/>
      <c r="AN10" s="94"/>
      <c r="AO10" s="90"/>
      <c r="AP10" s="205">
        <f t="shared" si="0"/>
        <v>0</v>
      </c>
      <c r="AQ10" s="90"/>
      <c r="AR10" s="205">
        <f t="shared" si="1"/>
        <v>0</v>
      </c>
      <c r="AS10" s="205">
        <f t="shared" si="2"/>
        <v>0</v>
      </c>
      <c r="AT10" s="59"/>
      <c r="AU10" s="59"/>
      <c r="AV10" s="59"/>
      <c r="AW10" s="59"/>
      <c r="AX10" s="59"/>
      <c r="AY10" s="59"/>
      <c r="AZ10" s="59"/>
    </row>
    <row r="11" spans="1:52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2"/>
      <c r="AI11" s="59"/>
      <c r="AJ11" s="59"/>
      <c r="AK11" s="59"/>
      <c r="AL11" s="96"/>
      <c r="AM11" s="94"/>
      <c r="AN11" s="94"/>
      <c r="AO11" s="90"/>
      <c r="AP11" s="205">
        <f t="shared" si="0"/>
        <v>0</v>
      </c>
      <c r="AQ11" s="90"/>
      <c r="AR11" s="205">
        <f t="shared" si="1"/>
        <v>0</v>
      </c>
      <c r="AS11" s="205">
        <f t="shared" si="2"/>
        <v>0</v>
      </c>
      <c r="AT11" s="59"/>
      <c r="AU11" s="59"/>
      <c r="AV11" s="59"/>
      <c r="AW11" s="59"/>
      <c r="AX11" s="59"/>
      <c r="AY11" s="59"/>
      <c r="AZ11" s="59"/>
    </row>
    <row r="12" spans="1:52" x14ac:dyDescent="0.25">
      <c r="B12" s="7" t="s">
        <v>246</v>
      </c>
      <c r="C12" t="s">
        <v>33</v>
      </c>
      <c r="F12" s="122">
        <v>709449</v>
      </c>
      <c r="G12" s="19"/>
      <c r="H12" s="19">
        <v>5489441</v>
      </c>
      <c r="I12" s="19"/>
      <c r="J12" s="123">
        <v>327577</v>
      </c>
      <c r="K12" s="19"/>
      <c r="L12" s="122">
        <v>0</v>
      </c>
      <c r="M12" s="19"/>
      <c r="N12" s="19">
        <v>0</v>
      </c>
      <c r="O12" s="19"/>
      <c r="P12" s="19">
        <f t="shared" ref="P12:P15" si="3">R12-L12</f>
        <v>0</v>
      </c>
      <c r="Q12" s="239"/>
      <c r="R12" s="123">
        <v>0</v>
      </c>
      <c r="U12" s="39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2"/>
      <c r="AI12" s="59"/>
      <c r="AJ12" s="59"/>
      <c r="AK12" s="59"/>
      <c r="AL12" s="96"/>
      <c r="AM12" s="94"/>
      <c r="AN12" s="94"/>
      <c r="AO12" s="90"/>
      <c r="AP12" s="205">
        <f t="shared" si="0"/>
        <v>0</v>
      </c>
      <c r="AQ12" s="90"/>
      <c r="AR12" s="205">
        <f t="shared" si="1"/>
        <v>0</v>
      </c>
      <c r="AS12" s="205">
        <f t="shared" si="2"/>
        <v>0</v>
      </c>
      <c r="AT12" s="59"/>
      <c r="AU12" s="59"/>
      <c r="AV12" s="59"/>
      <c r="AW12" s="59"/>
      <c r="AX12" s="59"/>
      <c r="AY12" s="59"/>
      <c r="AZ12" s="59"/>
    </row>
    <row r="13" spans="1:52" x14ac:dyDescent="0.25">
      <c r="B13" s="7" t="s">
        <v>247</v>
      </c>
      <c r="C13" t="s">
        <v>35</v>
      </c>
      <c r="F13" s="122">
        <v>0</v>
      </c>
      <c r="G13" s="19"/>
      <c r="H13" s="19">
        <v>0</v>
      </c>
      <c r="I13" s="19"/>
      <c r="J13" s="123">
        <v>0</v>
      </c>
      <c r="K13" s="19"/>
      <c r="L13" s="122">
        <v>0</v>
      </c>
      <c r="M13" s="19"/>
      <c r="N13" s="19">
        <v>0</v>
      </c>
      <c r="O13" s="19"/>
      <c r="P13" s="19">
        <f t="shared" si="3"/>
        <v>0</v>
      </c>
      <c r="Q13" s="239"/>
      <c r="R13" s="123">
        <v>0</v>
      </c>
      <c r="U13" s="39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2"/>
      <c r="AI13" s="59"/>
      <c r="AJ13" s="59"/>
      <c r="AK13" s="59"/>
      <c r="AL13" s="96"/>
      <c r="AM13" s="94"/>
      <c r="AN13" s="94"/>
      <c r="AO13" s="90"/>
      <c r="AP13" s="205">
        <f t="shared" si="0"/>
        <v>0</v>
      </c>
      <c r="AQ13" s="90"/>
      <c r="AR13" s="205">
        <f t="shared" si="1"/>
        <v>0</v>
      </c>
      <c r="AS13" s="205">
        <f t="shared" si="2"/>
        <v>0</v>
      </c>
      <c r="AT13" s="59"/>
      <c r="AU13" s="59"/>
      <c r="AV13" s="59"/>
      <c r="AW13" s="59"/>
      <c r="AX13" s="59"/>
      <c r="AY13" s="59"/>
      <c r="AZ13" s="59"/>
    </row>
    <row r="14" spans="1:52" x14ac:dyDescent="0.25">
      <c r="B14" s="7" t="s">
        <v>248</v>
      </c>
      <c r="C14" t="s">
        <v>36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v>0</v>
      </c>
      <c r="M14" s="19"/>
      <c r="N14" s="19">
        <v>0</v>
      </c>
      <c r="O14" s="19"/>
      <c r="P14" s="19">
        <f t="shared" si="3"/>
        <v>0</v>
      </c>
      <c r="Q14" s="239"/>
      <c r="R14" s="123">
        <v>0</v>
      </c>
      <c r="U14" s="39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2"/>
      <c r="AI14" s="59"/>
      <c r="AJ14" s="59"/>
      <c r="AK14" s="59"/>
      <c r="AL14" s="96"/>
      <c r="AM14" s="94"/>
      <c r="AN14" s="94"/>
      <c r="AO14" s="90"/>
      <c r="AP14" s="205">
        <f t="shared" si="0"/>
        <v>0</v>
      </c>
      <c r="AQ14" s="90"/>
      <c r="AR14" s="205">
        <f t="shared" si="1"/>
        <v>0</v>
      </c>
      <c r="AS14" s="205">
        <f t="shared" si="2"/>
        <v>0</v>
      </c>
      <c r="AT14" s="59"/>
      <c r="AU14" s="59"/>
      <c r="AV14" s="59"/>
      <c r="AW14" s="59"/>
      <c r="AX14" s="59"/>
      <c r="AY14" s="59"/>
      <c r="AZ14" s="59"/>
    </row>
    <row r="15" spans="1:52" x14ac:dyDescent="0.25">
      <c r="B15" s="117">
        <v>5210</v>
      </c>
      <c r="C15" t="s">
        <v>160</v>
      </c>
      <c r="F15" s="131">
        <v>0</v>
      </c>
      <c r="G15" s="19"/>
      <c r="H15" s="132">
        <v>-1371000</v>
      </c>
      <c r="I15" s="19"/>
      <c r="J15" s="133">
        <v>-5140527</v>
      </c>
      <c r="K15" s="19"/>
      <c r="L15" s="131">
        <v>0</v>
      </c>
      <c r="M15" s="19"/>
      <c r="N15" s="132">
        <v>0</v>
      </c>
      <c r="O15" s="19"/>
      <c r="P15" s="132">
        <f t="shared" si="3"/>
        <v>0</v>
      </c>
      <c r="Q15" s="239"/>
      <c r="R15" s="133">
        <v>0</v>
      </c>
      <c r="U15" s="39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2"/>
      <c r="AI15" s="59"/>
      <c r="AJ15" s="59"/>
      <c r="AK15" s="59"/>
      <c r="AL15" s="96"/>
      <c r="AM15" s="94"/>
      <c r="AN15" s="94"/>
      <c r="AO15" s="90"/>
      <c r="AP15" s="205">
        <f t="shared" si="0"/>
        <v>0</v>
      </c>
      <c r="AQ15" s="90"/>
      <c r="AR15" s="205">
        <f t="shared" si="1"/>
        <v>0</v>
      </c>
      <c r="AS15" s="205">
        <f t="shared" si="2"/>
        <v>0</v>
      </c>
      <c r="AT15" s="59"/>
      <c r="AU15" s="59"/>
      <c r="AV15" s="59"/>
      <c r="AW15" s="59"/>
      <c r="AX15" s="59"/>
      <c r="AY15" s="59"/>
      <c r="AZ15" s="59"/>
    </row>
    <row r="16" spans="1:52" x14ac:dyDescent="0.25">
      <c r="B16" s="7" t="s">
        <v>37</v>
      </c>
      <c r="F16" s="122">
        <f>SUM(F11:F15)</f>
        <v>709449</v>
      </c>
      <c r="G16" s="19"/>
      <c r="H16" s="19">
        <f>SUM(H11:H15)</f>
        <v>4118441</v>
      </c>
      <c r="I16" s="19"/>
      <c r="J16" s="123">
        <f>SUM(J11:J15)</f>
        <v>-4812950</v>
      </c>
      <c r="K16" s="19"/>
      <c r="L16" s="122">
        <f>SUM(L11:L15)</f>
        <v>0</v>
      </c>
      <c r="M16" s="19"/>
      <c r="N16" s="19">
        <f>SUM(N11:N15)</f>
        <v>0</v>
      </c>
      <c r="O16" s="19"/>
      <c r="P16" s="19">
        <f>SUM(P11:P15)</f>
        <v>0</v>
      </c>
      <c r="Q16" s="239"/>
      <c r="R16" s="123">
        <f>SUM(R11:R15)</f>
        <v>0</v>
      </c>
      <c r="U16" s="39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2"/>
      <c r="AI16" s="59"/>
      <c r="AJ16" s="59"/>
      <c r="AK16" s="59"/>
      <c r="AL16" s="96"/>
      <c r="AM16" s="94"/>
      <c r="AN16" s="94"/>
      <c r="AO16" s="90"/>
      <c r="AP16" s="205">
        <f t="shared" si="0"/>
        <v>0</v>
      </c>
      <c r="AQ16" s="90"/>
      <c r="AR16" s="205">
        <f t="shared" si="1"/>
        <v>0</v>
      </c>
      <c r="AS16" s="205">
        <f t="shared" si="2"/>
        <v>0</v>
      </c>
      <c r="AT16" s="59"/>
      <c r="AU16" s="59"/>
      <c r="AV16" s="59"/>
      <c r="AW16" s="59"/>
      <c r="AX16" s="59"/>
      <c r="AY16" s="59"/>
      <c r="AZ16" s="59"/>
    </row>
    <row r="17" spans="2:52" x14ac:dyDescent="0.25">
      <c r="F17" s="122"/>
      <c r="G17" s="19"/>
      <c r="H17" s="19"/>
      <c r="I17" s="19"/>
      <c r="J17" s="123"/>
      <c r="K17" s="19"/>
      <c r="L17" s="122"/>
      <c r="M17" s="19"/>
      <c r="N17" s="19"/>
      <c r="O17" s="19"/>
      <c r="P17" s="19"/>
      <c r="Q17" s="239"/>
      <c r="R17" s="123"/>
      <c r="U17" s="39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2"/>
      <c r="AI17" s="59"/>
      <c r="AJ17" s="59"/>
      <c r="AK17" s="59"/>
      <c r="AL17" s="96"/>
      <c r="AM17" s="94"/>
      <c r="AN17" s="94"/>
      <c r="AO17" s="90"/>
      <c r="AP17" s="205">
        <f t="shared" si="0"/>
        <v>0</v>
      </c>
      <c r="AQ17" s="90"/>
      <c r="AR17" s="205">
        <f t="shared" si="1"/>
        <v>0</v>
      </c>
      <c r="AS17" s="205">
        <f t="shared" si="2"/>
        <v>0</v>
      </c>
      <c r="AT17" s="59"/>
      <c r="AU17" s="59"/>
      <c r="AV17" s="59"/>
      <c r="AW17" s="59"/>
      <c r="AX17" s="59"/>
      <c r="AY17" s="59"/>
      <c r="AZ17" s="59"/>
    </row>
    <row r="18" spans="2:52" x14ac:dyDescent="0.25">
      <c r="B18" s="7" t="s">
        <v>38</v>
      </c>
      <c r="F18" s="131">
        <f>F9+F16</f>
        <v>709449</v>
      </c>
      <c r="G18" s="19"/>
      <c r="H18" s="132">
        <f>H9+H16</f>
        <v>4826263</v>
      </c>
      <c r="I18" s="19"/>
      <c r="J18" s="133">
        <f>J9+J16</f>
        <v>106</v>
      </c>
      <c r="K18" s="19"/>
      <c r="L18" s="131">
        <f>L9+L16</f>
        <v>0</v>
      </c>
      <c r="M18" s="19"/>
      <c r="N18" s="132">
        <f>N9+N16</f>
        <v>0</v>
      </c>
      <c r="O18" s="19"/>
      <c r="P18" s="132">
        <f>P9+P16</f>
        <v>0</v>
      </c>
      <c r="Q18" s="239"/>
      <c r="R18" s="133">
        <f>R9+R16</f>
        <v>0</v>
      </c>
      <c r="U18" s="399"/>
      <c r="AI18" s="59"/>
      <c r="AJ18" s="59"/>
      <c r="AK18" s="59"/>
      <c r="AL18" s="96"/>
      <c r="AM18" s="94"/>
      <c r="AN18" s="94"/>
      <c r="AO18" s="90"/>
      <c r="AP18" s="205">
        <f t="shared" si="0"/>
        <v>0</v>
      </c>
      <c r="AQ18" s="90"/>
      <c r="AR18" s="205">
        <f t="shared" si="1"/>
        <v>0</v>
      </c>
      <c r="AS18" s="205">
        <f t="shared" si="2"/>
        <v>0</v>
      </c>
      <c r="AT18" s="59"/>
      <c r="AU18" s="59"/>
      <c r="AV18" s="59"/>
      <c r="AW18" s="59"/>
      <c r="AX18" s="59"/>
      <c r="AY18" s="59"/>
      <c r="AZ18" s="59"/>
    </row>
    <row r="19" spans="2:52" x14ac:dyDescent="0.25">
      <c r="F19" s="122"/>
      <c r="G19" s="19"/>
      <c r="H19" s="126"/>
      <c r="I19" s="19"/>
      <c r="J19" s="127"/>
      <c r="K19" s="19"/>
      <c r="L19" s="122"/>
      <c r="M19" s="19"/>
      <c r="N19" s="126"/>
      <c r="O19" s="19"/>
      <c r="P19" s="126"/>
      <c r="Q19" s="239"/>
      <c r="R19" s="127"/>
      <c r="U19" s="399"/>
      <c r="AI19" s="59"/>
      <c r="AJ19" s="59"/>
      <c r="AK19" s="59"/>
      <c r="AL19" s="96"/>
      <c r="AM19" s="94"/>
      <c r="AN19" s="94"/>
      <c r="AO19" s="90"/>
      <c r="AP19" s="205">
        <f t="shared" si="0"/>
        <v>0</v>
      </c>
      <c r="AQ19" s="90"/>
      <c r="AR19" s="205">
        <f t="shared" si="1"/>
        <v>0</v>
      </c>
      <c r="AS19" s="205">
        <f t="shared" si="2"/>
        <v>0</v>
      </c>
      <c r="AT19" s="59"/>
      <c r="AU19" s="59"/>
      <c r="AV19" s="59"/>
      <c r="AW19" s="59"/>
      <c r="AX19" s="59"/>
      <c r="AY19" s="59"/>
      <c r="AZ19" s="59"/>
    </row>
    <row r="20" spans="2:52" x14ac:dyDescent="0.25">
      <c r="B20" s="7" t="s">
        <v>39</v>
      </c>
      <c r="F20" s="122"/>
      <c r="G20" s="19"/>
      <c r="H20" s="19"/>
      <c r="I20" s="19"/>
      <c r="J20" s="123"/>
      <c r="K20" s="19"/>
      <c r="L20" s="122"/>
      <c r="M20" s="19"/>
      <c r="N20" s="19"/>
      <c r="O20" s="19"/>
      <c r="P20" s="19"/>
      <c r="Q20" s="239"/>
      <c r="R20" s="123"/>
      <c r="U20" s="399"/>
      <c r="AI20" s="59"/>
      <c r="AJ20" s="59"/>
      <c r="AK20" s="59"/>
      <c r="AL20" s="96"/>
      <c r="AM20" s="94"/>
      <c r="AN20" s="94"/>
      <c r="AO20" s="90"/>
      <c r="AP20" s="205">
        <f t="shared" si="0"/>
        <v>0</v>
      </c>
      <c r="AQ20" s="90"/>
      <c r="AR20" s="205">
        <f t="shared" si="1"/>
        <v>0</v>
      </c>
      <c r="AS20" s="205">
        <f t="shared" si="2"/>
        <v>0</v>
      </c>
      <c r="AT20" s="59"/>
      <c r="AU20" s="59"/>
      <c r="AV20" s="59"/>
      <c r="AW20" s="59"/>
      <c r="AX20" s="59"/>
      <c r="AY20" s="59"/>
      <c r="AZ20" s="59"/>
    </row>
    <row r="21" spans="2:52" x14ac:dyDescent="0.25">
      <c r="B21" s="87" t="s">
        <v>204</v>
      </c>
      <c r="C21" t="s">
        <v>60</v>
      </c>
      <c r="F21" s="122">
        <v>0</v>
      </c>
      <c r="G21" s="19"/>
      <c r="H21" s="19">
        <v>0</v>
      </c>
      <c r="I21" s="19"/>
      <c r="J21" s="123">
        <v>0</v>
      </c>
      <c r="K21" s="19"/>
      <c r="L21" s="122">
        <v>0</v>
      </c>
      <c r="M21" s="19"/>
      <c r="N21" s="19">
        <v>0</v>
      </c>
      <c r="O21" s="19"/>
      <c r="P21" s="19">
        <f t="shared" ref="P21:P29" si="4">R21-L21</f>
        <v>0</v>
      </c>
      <c r="Q21" s="239"/>
      <c r="R21" s="123">
        <v>0</v>
      </c>
      <c r="U21" s="399"/>
      <c r="AI21" s="59"/>
      <c r="AJ21" s="59"/>
      <c r="AK21" s="59"/>
      <c r="AL21" s="96"/>
      <c r="AM21" s="94"/>
      <c r="AN21" s="94"/>
      <c r="AO21" s="90"/>
      <c r="AP21" s="205">
        <f t="shared" si="0"/>
        <v>0</v>
      </c>
      <c r="AQ21" s="90"/>
      <c r="AR21" s="205"/>
      <c r="AS21" s="205"/>
      <c r="AT21" s="59"/>
      <c r="AU21" s="59"/>
      <c r="AV21" s="59"/>
      <c r="AW21" s="59"/>
      <c r="AX21" s="59"/>
      <c r="AY21" s="59"/>
      <c r="AZ21" s="59"/>
    </row>
    <row r="22" spans="2:52" x14ac:dyDescent="0.25">
      <c r="B22" s="87" t="s">
        <v>196</v>
      </c>
      <c r="C22" t="s">
        <v>61</v>
      </c>
      <c r="F22" s="122">
        <v>0</v>
      </c>
      <c r="G22" s="19"/>
      <c r="H22" s="19">
        <v>0</v>
      </c>
      <c r="I22" s="19"/>
      <c r="J22" s="123">
        <v>0</v>
      </c>
      <c r="K22" s="19"/>
      <c r="L22" s="122">
        <v>0</v>
      </c>
      <c r="M22" s="19"/>
      <c r="N22" s="19">
        <v>0</v>
      </c>
      <c r="O22" s="19"/>
      <c r="P22" s="19">
        <f t="shared" si="4"/>
        <v>0</v>
      </c>
      <c r="Q22" s="239"/>
      <c r="R22" s="123">
        <v>0</v>
      </c>
      <c r="U22" s="399"/>
      <c r="AI22" s="59"/>
      <c r="AJ22" s="59"/>
      <c r="AK22" s="59"/>
      <c r="AL22" s="96"/>
      <c r="AM22" s="94"/>
      <c r="AN22" s="94"/>
      <c r="AO22" s="90"/>
      <c r="AP22" s="205">
        <f t="shared" si="0"/>
        <v>0</v>
      </c>
      <c r="AQ22" s="90"/>
      <c r="AR22" s="205"/>
      <c r="AS22" s="205"/>
      <c r="AT22" s="59"/>
      <c r="AU22" s="59"/>
      <c r="AV22" s="59"/>
      <c r="AW22" s="59"/>
      <c r="AX22" s="59"/>
      <c r="AY22" s="59"/>
      <c r="AZ22" s="59"/>
    </row>
    <row r="23" spans="2:52" x14ac:dyDescent="0.25">
      <c r="B23" s="87" t="s">
        <v>197</v>
      </c>
      <c r="C23" t="s">
        <v>62</v>
      </c>
      <c r="F23" s="122">
        <v>1627</v>
      </c>
      <c r="G23" s="19"/>
      <c r="H23" s="19">
        <v>13207</v>
      </c>
      <c r="I23" s="19"/>
      <c r="J23" s="123">
        <v>106</v>
      </c>
      <c r="K23" s="19"/>
      <c r="L23" s="122">
        <v>0</v>
      </c>
      <c r="M23" s="19"/>
      <c r="N23" s="19">
        <v>0</v>
      </c>
      <c r="O23" s="19"/>
      <c r="P23" s="19">
        <f t="shared" si="4"/>
        <v>0</v>
      </c>
      <c r="Q23" s="239"/>
      <c r="R23" s="123">
        <v>0</v>
      </c>
      <c r="U23" s="399"/>
      <c r="AI23" s="59"/>
      <c r="AJ23" s="59"/>
      <c r="AK23" s="59"/>
      <c r="AL23" s="96"/>
      <c r="AM23" s="94"/>
      <c r="AN23" s="94"/>
      <c r="AO23" s="90"/>
      <c r="AP23" s="205">
        <f t="shared" si="0"/>
        <v>0</v>
      </c>
      <c r="AQ23" s="90"/>
      <c r="AR23" s="205">
        <f t="shared" si="1"/>
        <v>0</v>
      </c>
      <c r="AS23" s="205">
        <f t="shared" si="2"/>
        <v>0</v>
      </c>
      <c r="AT23" s="59"/>
      <c r="AU23" s="59"/>
      <c r="AV23" s="59"/>
      <c r="AW23" s="59"/>
      <c r="AX23" s="59"/>
      <c r="AY23" s="59"/>
      <c r="AZ23" s="59"/>
    </row>
    <row r="24" spans="2:52" x14ac:dyDescent="0.25">
      <c r="B24" s="87" t="s">
        <v>198</v>
      </c>
      <c r="C24" t="s">
        <v>63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19">
        <v>0</v>
      </c>
      <c r="O24" s="19"/>
      <c r="P24" s="19">
        <f t="shared" si="4"/>
        <v>0</v>
      </c>
      <c r="Q24" s="239"/>
      <c r="R24" s="123">
        <v>0</v>
      </c>
      <c r="U24" s="399"/>
      <c r="AI24" s="59"/>
      <c r="AJ24" s="59"/>
      <c r="AK24" s="59"/>
      <c r="AL24" s="96"/>
      <c r="AM24" s="94"/>
      <c r="AN24" s="94"/>
      <c r="AO24" s="90"/>
      <c r="AP24" s="205">
        <f t="shared" si="0"/>
        <v>0</v>
      </c>
      <c r="AQ24" s="90"/>
      <c r="AR24" s="205">
        <f t="shared" si="1"/>
        <v>0</v>
      </c>
      <c r="AS24" s="205">
        <f t="shared" si="2"/>
        <v>0</v>
      </c>
      <c r="AT24" s="59"/>
      <c r="AU24" s="59"/>
      <c r="AV24" s="59"/>
      <c r="AW24" s="59"/>
      <c r="AX24" s="59"/>
      <c r="AY24" s="59"/>
      <c r="AZ24" s="59"/>
    </row>
    <row r="25" spans="2:52" x14ac:dyDescent="0.25">
      <c r="B25" s="87" t="s">
        <v>199</v>
      </c>
      <c r="C25" t="s">
        <v>49</v>
      </c>
      <c r="F25" s="122">
        <v>0</v>
      </c>
      <c r="G25" s="19"/>
      <c r="H25" s="19">
        <v>0</v>
      </c>
      <c r="I25" s="19"/>
      <c r="J25" s="123">
        <v>0</v>
      </c>
      <c r="K25" s="19"/>
      <c r="L25" s="122">
        <v>0</v>
      </c>
      <c r="M25" s="19"/>
      <c r="N25" s="19">
        <v>0</v>
      </c>
      <c r="O25" s="19"/>
      <c r="P25" s="19">
        <f t="shared" si="4"/>
        <v>0</v>
      </c>
      <c r="Q25" s="239"/>
      <c r="R25" s="123">
        <v>0</v>
      </c>
      <c r="U25" s="399"/>
      <c r="AI25" s="59"/>
      <c r="AJ25" s="59"/>
      <c r="AK25" s="59"/>
      <c r="AL25" s="96"/>
      <c r="AM25" s="94"/>
      <c r="AN25" s="94"/>
      <c r="AO25" s="90"/>
      <c r="AP25" s="205">
        <f t="shared" si="0"/>
        <v>0</v>
      </c>
      <c r="AQ25" s="90"/>
      <c r="AR25" s="205">
        <f t="shared" si="1"/>
        <v>0</v>
      </c>
      <c r="AS25" s="205">
        <f t="shared" si="2"/>
        <v>0</v>
      </c>
      <c r="AT25" s="59"/>
      <c r="AU25" s="59"/>
      <c r="AV25" s="59"/>
      <c r="AW25" s="59"/>
      <c r="AX25" s="59"/>
      <c r="AY25" s="59"/>
      <c r="AZ25" s="59"/>
    </row>
    <row r="26" spans="2:52" x14ac:dyDescent="0.25">
      <c r="B26" s="87" t="s">
        <v>200</v>
      </c>
      <c r="C26" t="s">
        <v>64</v>
      </c>
      <c r="F26" s="122">
        <v>0</v>
      </c>
      <c r="G26" s="19"/>
      <c r="H26" s="19">
        <v>0</v>
      </c>
      <c r="I26" s="19"/>
      <c r="J26" s="123">
        <v>0</v>
      </c>
      <c r="K26" s="19"/>
      <c r="L26" s="122">
        <v>0</v>
      </c>
      <c r="M26" s="19"/>
      <c r="N26" s="19">
        <v>0</v>
      </c>
      <c r="O26" s="19"/>
      <c r="P26" s="19">
        <f t="shared" si="4"/>
        <v>0</v>
      </c>
      <c r="Q26" s="239"/>
      <c r="R26" s="123">
        <v>0</v>
      </c>
      <c r="U26" s="399"/>
      <c r="AI26" s="59"/>
      <c r="AJ26" s="59"/>
      <c r="AK26" s="59"/>
      <c r="AL26" s="96"/>
      <c r="AM26" s="94"/>
      <c r="AN26" s="94"/>
      <c r="AO26" s="90"/>
      <c r="AP26" s="205">
        <f t="shared" si="0"/>
        <v>0</v>
      </c>
      <c r="AQ26" s="90"/>
      <c r="AR26" s="205">
        <f t="shared" si="1"/>
        <v>0</v>
      </c>
      <c r="AS26" s="205">
        <f t="shared" si="2"/>
        <v>0</v>
      </c>
      <c r="AT26" s="59"/>
      <c r="AU26" s="59"/>
      <c r="AV26" s="59"/>
      <c r="AW26" s="59"/>
      <c r="AX26" s="59"/>
      <c r="AY26" s="59"/>
      <c r="AZ26" s="59"/>
    </row>
    <row r="27" spans="2:52" x14ac:dyDescent="0.25">
      <c r="B27" s="87" t="s">
        <v>201</v>
      </c>
      <c r="C27" t="s">
        <v>65</v>
      </c>
      <c r="F27" s="122">
        <v>0</v>
      </c>
      <c r="G27" s="19"/>
      <c r="H27" s="19">
        <v>0</v>
      </c>
      <c r="I27" s="19"/>
      <c r="J27" s="123">
        <v>0</v>
      </c>
      <c r="K27" s="19"/>
      <c r="L27" s="122">
        <v>0</v>
      </c>
      <c r="M27" s="19"/>
      <c r="N27" s="19">
        <v>0</v>
      </c>
      <c r="O27" s="19"/>
      <c r="P27" s="19">
        <f t="shared" si="4"/>
        <v>0</v>
      </c>
      <c r="Q27" s="239"/>
      <c r="R27" s="123">
        <v>0</v>
      </c>
      <c r="U27" s="399"/>
      <c r="AI27" s="59"/>
      <c r="AJ27" s="59"/>
      <c r="AK27" s="59"/>
      <c r="AL27" s="96"/>
      <c r="AM27" s="94"/>
      <c r="AN27" s="94"/>
      <c r="AO27" s="90"/>
      <c r="AP27" s="205">
        <f t="shared" si="0"/>
        <v>0</v>
      </c>
      <c r="AQ27" s="90"/>
      <c r="AR27" s="205">
        <f t="shared" si="1"/>
        <v>0</v>
      </c>
      <c r="AS27" s="205">
        <f t="shared" si="2"/>
        <v>0</v>
      </c>
      <c r="AT27" s="59"/>
      <c r="AU27" s="59"/>
      <c r="AV27" s="59"/>
      <c r="AW27" s="59"/>
      <c r="AX27" s="59"/>
      <c r="AY27" s="59"/>
      <c r="AZ27" s="59"/>
    </row>
    <row r="28" spans="2:52" x14ac:dyDescent="0.25">
      <c r="B28" s="87" t="s">
        <v>202</v>
      </c>
      <c r="C28" t="s">
        <v>66</v>
      </c>
      <c r="F28" s="122">
        <v>0</v>
      </c>
      <c r="G28" s="19"/>
      <c r="H28" s="19">
        <v>0</v>
      </c>
      <c r="I28" s="19"/>
      <c r="J28" s="123">
        <v>0</v>
      </c>
      <c r="K28" s="19"/>
      <c r="L28" s="122">
        <v>0</v>
      </c>
      <c r="M28" s="19"/>
      <c r="N28" s="19">
        <v>0</v>
      </c>
      <c r="O28" s="19"/>
      <c r="P28" s="19">
        <f t="shared" si="4"/>
        <v>0</v>
      </c>
      <c r="Q28" s="239"/>
      <c r="R28" s="123">
        <v>0</v>
      </c>
      <c r="U28" s="399"/>
      <c r="AI28" s="59"/>
      <c r="AJ28" s="59"/>
      <c r="AK28" s="59"/>
      <c r="AL28" s="96"/>
      <c r="AM28" s="94"/>
      <c r="AN28" s="94"/>
      <c r="AO28" s="90"/>
      <c r="AP28" s="205">
        <f t="shared" si="0"/>
        <v>0</v>
      </c>
      <c r="AQ28" s="90"/>
      <c r="AR28" s="205">
        <f t="shared" si="1"/>
        <v>0</v>
      </c>
      <c r="AS28" s="205">
        <f t="shared" si="2"/>
        <v>0</v>
      </c>
      <c r="AT28" s="59"/>
      <c r="AU28" s="59"/>
      <c r="AV28" s="59"/>
      <c r="AW28" s="59"/>
      <c r="AX28" s="59"/>
      <c r="AY28" s="59"/>
      <c r="AZ28" s="59"/>
    </row>
    <row r="29" spans="2:52" x14ac:dyDescent="0.25">
      <c r="B29" s="87" t="s">
        <v>203</v>
      </c>
      <c r="C29" t="s">
        <v>67</v>
      </c>
      <c r="F29" s="131">
        <v>0</v>
      </c>
      <c r="G29" s="19"/>
      <c r="H29" s="132">
        <v>0</v>
      </c>
      <c r="I29" s="19"/>
      <c r="J29" s="133">
        <v>0</v>
      </c>
      <c r="K29" s="19"/>
      <c r="L29" s="215">
        <v>0</v>
      </c>
      <c r="M29" s="211"/>
      <c r="N29" s="209">
        <v>0</v>
      </c>
      <c r="O29" s="211"/>
      <c r="P29" s="209">
        <f t="shared" si="4"/>
        <v>0</v>
      </c>
      <c r="Q29" s="239"/>
      <c r="R29" s="216">
        <v>0</v>
      </c>
      <c r="U29" s="399"/>
      <c r="AI29" s="59"/>
      <c r="AJ29" s="59"/>
      <c r="AK29" s="59"/>
      <c r="AL29" s="96"/>
      <c r="AM29" s="94"/>
      <c r="AN29" s="94"/>
      <c r="AO29" s="90"/>
      <c r="AP29" s="205">
        <f t="shared" si="0"/>
        <v>0</v>
      </c>
      <c r="AQ29" s="90"/>
      <c r="AR29" s="205">
        <f t="shared" si="1"/>
        <v>0</v>
      </c>
      <c r="AS29" s="205">
        <f t="shared" si="2"/>
        <v>0</v>
      </c>
      <c r="AT29" s="59"/>
      <c r="AU29" s="59"/>
      <c r="AV29" s="59"/>
      <c r="AW29" s="59"/>
      <c r="AX29" s="59"/>
      <c r="AY29" s="59"/>
      <c r="AZ29" s="59"/>
    </row>
    <row r="30" spans="2:52" x14ac:dyDescent="0.25">
      <c r="B30" s="7" t="s">
        <v>50</v>
      </c>
      <c r="F30" s="122">
        <f>SUM(F21:F29)</f>
        <v>1627</v>
      </c>
      <c r="G30" s="19"/>
      <c r="H30" s="19">
        <f>SUM(H21:H29)</f>
        <v>13207</v>
      </c>
      <c r="I30" s="19"/>
      <c r="J30" s="123">
        <f>SUM(J21:J29)</f>
        <v>106</v>
      </c>
      <c r="K30" s="19"/>
      <c r="L30" s="122">
        <f>SUM(L21:L29)</f>
        <v>0</v>
      </c>
      <c r="M30" s="19"/>
      <c r="N30" s="19">
        <f>SUM(N21:N29)</f>
        <v>0</v>
      </c>
      <c r="O30" s="19"/>
      <c r="P30" s="19">
        <f>SUM(P21:P29)</f>
        <v>0</v>
      </c>
      <c r="Q30" s="239"/>
      <c r="R30" s="123">
        <f>SUM(R21:R29)</f>
        <v>0</v>
      </c>
      <c r="U30" s="399"/>
      <c r="AI30" s="59"/>
      <c r="AJ30" s="59"/>
      <c r="AK30" s="59"/>
      <c r="AL30" s="96"/>
      <c r="AM30" s="94"/>
      <c r="AN30" s="94"/>
      <c r="AO30" s="90"/>
      <c r="AP30" s="205">
        <f t="shared" si="0"/>
        <v>0</v>
      </c>
      <c r="AQ30" s="90"/>
      <c r="AR30" s="205">
        <f t="shared" si="1"/>
        <v>0</v>
      </c>
      <c r="AS30" s="205">
        <f t="shared" si="2"/>
        <v>0</v>
      </c>
      <c r="AT30" s="59"/>
      <c r="AU30" s="59"/>
      <c r="AV30" s="59"/>
      <c r="AW30" s="59"/>
      <c r="AX30" s="59"/>
      <c r="AY30" s="59"/>
      <c r="AZ30" s="59"/>
    </row>
    <row r="31" spans="2:52" x14ac:dyDescent="0.25">
      <c r="F31" s="122"/>
      <c r="G31" s="19"/>
      <c r="H31" s="19"/>
      <c r="I31" s="19"/>
      <c r="J31" s="123"/>
      <c r="K31" s="19"/>
      <c r="L31" s="122"/>
      <c r="M31" s="19"/>
      <c r="N31" s="19"/>
      <c r="O31" s="19"/>
      <c r="P31" s="19"/>
      <c r="Q31" s="239"/>
      <c r="R31" s="123"/>
      <c r="U31" s="399"/>
      <c r="AI31" s="59"/>
      <c r="AJ31" s="59"/>
      <c r="AK31" s="59"/>
      <c r="AL31" s="96"/>
      <c r="AM31" s="94"/>
      <c r="AN31" s="94"/>
      <c r="AO31" s="90"/>
      <c r="AP31" s="205">
        <f t="shared" si="0"/>
        <v>0</v>
      </c>
      <c r="AQ31" s="90"/>
      <c r="AR31" s="205">
        <f t="shared" si="1"/>
        <v>0</v>
      </c>
      <c r="AS31" s="205">
        <f t="shared" si="2"/>
        <v>0</v>
      </c>
      <c r="AT31" s="59"/>
      <c r="AU31" s="59"/>
      <c r="AV31" s="59"/>
      <c r="AW31" s="59"/>
      <c r="AX31" s="59"/>
      <c r="AY31" s="59"/>
      <c r="AZ31" s="59"/>
    </row>
    <row r="32" spans="2:52" ht="14.1" customHeight="1" thickBot="1" x14ac:dyDescent="0.3">
      <c r="D32" s="53" t="s">
        <v>193</v>
      </c>
      <c r="F32" s="134">
        <f>+F16-F30</f>
        <v>707822</v>
      </c>
      <c r="G32" s="135"/>
      <c r="H32" s="135">
        <f>+H16-H30</f>
        <v>4105234</v>
      </c>
      <c r="I32" s="135"/>
      <c r="J32" s="136">
        <f>+J16-J30</f>
        <v>-4813056</v>
      </c>
      <c r="K32" s="135"/>
      <c r="L32" s="134">
        <f>+L16-L30</f>
        <v>0</v>
      </c>
      <c r="M32" s="135"/>
      <c r="N32" s="135">
        <f>+N16-N30</f>
        <v>0</v>
      </c>
      <c r="O32" s="135"/>
      <c r="P32" s="135">
        <f>+P16-P30</f>
        <v>0</v>
      </c>
      <c r="Q32" s="243"/>
      <c r="R32" s="136">
        <f>+R16-R30</f>
        <v>0</v>
      </c>
      <c r="U32" s="399"/>
      <c r="AI32" s="59"/>
      <c r="AJ32" s="59"/>
      <c r="AK32" s="59"/>
      <c r="AL32" s="96"/>
      <c r="AM32" s="94"/>
      <c r="AN32" s="94"/>
      <c r="AO32" s="90"/>
      <c r="AP32" s="205">
        <f t="shared" si="0"/>
        <v>0</v>
      </c>
      <c r="AQ32" s="90"/>
      <c r="AR32" s="205">
        <f t="shared" si="1"/>
        <v>0</v>
      </c>
      <c r="AS32" s="205">
        <f t="shared" si="2"/>
        <v>0</v>
      </c>
      <c r="AT32" s="59"/>
      <c r="AU32" s="59"/>
      <c r="AV32" s="59"/>
      <c r="AW32" s="59"/>
      <c r="AX32" s="59"/>
      <c r="AY32" s="59"/>
      <c r="AZ32" s="59"/>
    </row>
    <row r="33" spans="2:52" ht="15.75" thickTop="1" x14ac:dyDescent="0.25">
      <c r="F33" s="122"/>
      <c r="G33" s="19"/>
      <c r="H33" s="19"/>
      <c r="I33" s="19"/>
      <c r="J33" s="123"/>
      <c r="K33" s="19"/>
      <c r="L33" s="122"/>
      <c r="M33" s="19"/>
      <c r="N33" s="19"/>
      <c r="O33" s="19"/>
      <c r="P33" s="19"/>
      <c r="Q33" s="239"/>
      <c r="R33" s="123"/>
      <c r="U33" s="399"/>
      <c r="AI33" s="59"/>
      <c r="AJ33" s="59"/>
      <c r="AK33" s="59"/>
      <c r="AL33" s="96"/>
      <c r="AM33" s="94"/>
      <c r="AN33" s="94"/>
      <c r="AO33" s="90"/>
      <c r="AP33" s="205">
        <f t="shared" si="0"/>
        <v>0</v>
      </c>
      <c r="AQ33" s="90"/>
      <c r="AR33" s="205">
        <f t="shared" si="1"/>
        <v>0</v>
      </c>
      <c r="AS33" s="205">
        <f t="shared" si="2"/>
        <v>0</v>
      </c>
      <c r="AT33" s="59"/>
      <c r="AU33" s="59"/>
      <c r="AV33" s="59"/>
      <c r="AW33" s="59"/>
      <c r="AX33" s="59"/>
      <c r="AY33" s="59"/>
      <c r="AZ33" s="59"/>
    </row>
    <row r="34" spans="2:52" x14ac:dyDescent="0.25">
      <c r="B34" s="7" t="s">
        <v>53</v>
      </c>
      <c r="F34" s="122"/>
      <c r="G34" s="19"/>
      <c r="H34" s="19"/>
      <c r="I34" s="19"/>
      <c r="J34" s="123"/>
      <c r="K34" s="19"/>
      <c r="L34" s="122"/>
      <c r="M34" s="19"/>
      <c r="N34" s="19"/>
      <c r="O34" s="19"/>
      <c r="P34" s="19"/>
      <c r="Q34" s="239"/>
      <c r="R34" s="123"/>
      <c r="U34" s="399"/>
      <c r="AI34" s="59"/>
      <c r="AJ34" s="59"/>
      <c r="AK34" s="59"/>
      <c r="AL34" s="96"/>
      <c r="AM34" s="94"/>
      <c r="AN34" s="94"/>
      <c r="AO34" s="90"/>
      <c r="AP34" s="205">
        <f t="shared" si="0"/>
        <v>0</v>
      </c>
      <c r="AQ34" s="90"/>
      <c r="AR34" s="205">
        <f t="shared" si="1"/>
        <v>0</v>
      </c>
      <c r="AS34" s="205">
        <f t="shared" si="2"/>
        <v>0</v>
      </c>
      <c r="AT34" s="59"/>
      <c r="AU34" s="59"/>
      <c r="AV34" s="59"/>
      <c r="AW34" s="59"/>
      <c r="AX34" s="59"/>
      <c r="AY34" s="59"/>
      <c r="AZ34" s="59"/>
    </row>
    <row r="35" spans="2:52" ht="15.75" thickBot="1" x14ac:dyDescent="0.3">
      <c r="C35" t="s">
        <v>211</v>
      </c>
      <c r="F35" s="122">
        <f>F9+F32</f>
        <v>707822</v>
      </c>
      <c r="G35" s="19"/>
      <c r="H35" s="19">
        <f>H9+H32</f>
        <v>4813056</v>
      </c>
      <c r="I35" s="19"/>
      <c r="J35" s="123">
        <f>J9+J32</f>
        <v>0</v>
      </c>
      <c r="K35" s="19"/>
      <c r="L35" s="122">
        <f>+L9+L16-L30</f>
        <v>0</v>
      </c>
      <c r="M35" s="19"/>
      <c r="N35" s="19">
        <f>+N9+N16-N30</f>
        <v>0</v>
      </c>
      <c r="O35" s="19"/>
      <c r="P35" s="19">
        <f t="shared" ref="P35" si="5">R35-L35</f>
        <v>0</v>
      </c>
      <c r="Q35" s="239"/>
      <c r="R35" s="123">
        <f>+R9+R16-R30</f>
        <v>0</v>
      </c>
      <c r="U35" s="399"/>
      <c r="X35" s="186" t="s">
        <v>301</v>
      </c>
      <c r="Y35" s="186"/>
      <c r="Z35" s="186"/>
      <c r="AA35" s="186"/>
      <c r="AI35" s="59"/>
      <c r="AJ35" s="59"/>
      <c r="AK35" s="59"/>
      <c r="AL35" s="96"/>
      <c r="AM35" s="94"/>
      <c r="AN35" s="94"/>
      <c r="AO35" s="90"/>
      <c r="AP35" s="205">
        <f t="shared" si="0"/>
        <v>0</v>
      </c>
      <c r="AQ35" s="90"/>
      <c r="AR35" s="205">
        <f t="shared" si="1"/>
        <v>0</v>
      </c>
      <c r="AS35" s="205">
        <f t="shared" si="2"/>
        <v>0</v>
      </c>
      <c r="AT35" s="59"/>
      <c r="AU35" s="59"/>
      <c r="AV35" s="59"/>
      <c r="AW35" s="59"/>
      <c r="AX35" s="59"/>
      <c r="AY35" s="59"/>
      <c r="AZ35" s="59"/>
    </row>
    <row r="36" spans="2:52" ht="15.75" thickBot="1" x14ac:dyDescent="0.3">
      <c r="F36" s="131"/>
      <c r="G36" s="19"/>
      <c r="H36" s="132"/>
      <c r="I36" s="19"/>
      <c r="J36" s="133"/>
      <c r="K36" s="19"/>
      <c r="L36" s="131"/>
      <c r="M36" s="19"/>
      <c r="N36" s="132"/>
      <c r="O36" s="19"/>
      <c r="P36" s="132"/>
      <c r="Q36" s="239"/>
      <c r="R36" s="133"/>
      <c r="U36" s="399"/>
      <c r="W36" s="207" t="s">
        <v>365</v>
      </c>
      <c r="X36" s="207" t="s">
        <v>292</v>
      </c>
      <c r="Y36" s="207" t="s">
        <v>277</v>
      </c>
      <c r="Z36" s="207" t="s">
        <v>356</v>
      </c>
      <c r="AA36" s="207" t="s">
        <v>127</v>
      </c>
      <c r="AB36" s="207" t="s">
        <v>276</v>
      </c>
      <c r="AC36" s="207" t="s">
        <v>278</v>
      </c>
      <c r="AD36" s="183" t="s">
        <v>364</v>
      </c>
      <c r="AE36" s="183"/>
      <c r="AI36" s="59"/>
      <c r="AJ36" s="59"/>
      <c r="AK36" s="59"/>
      <c r="AL36" s="96"/>
      <c r="AM36" s="94"/>
      <c r="AN36" s="94"/>
      <c r="AO36" s="90"/>
      <c r="AP36" s="205">
        <f t="shared" si="0"/>
        <v>0</v>
      </c>
      <c r="AQ36" s="90"/>
      <c r="AR36" s="205">
        <f t="shared" si="1"/>
        <v>0</v>
      </c>
      <c r="AS36" s="205">
        <f t="shared" si="2"/>
        <v>0</v>
      </c>
      <c r="AT36" s="59"/>
      <c r="AU36" s="59"/>
      <c r="AV36" s="59"/>
      <c r="AW36" s="59"/>
      <c r="AX36" s="59"/>
      <c r="AY36" s="59"/>
      <c r="AZ36" s="59"/>
    </row>
    <row r="37" spans="2:52" ht="15.75" thickBot="1" x14ac:dyDescent="0.3">
      <c r="B37" s="7" t="s">
        <v>265</v>
      </c>
      <c r="F37" s="137">
        <f>SUM(F34:F36)</f>
        <v>707822</v>
      </c>
      <c r="G37" s="138"/>
      <c r="H37" s="138">
        <f>SUM(H34:H36)</f>
        <v>4813056</v>
      </c>
      <c r="I37" s="138"/>
      <c r="J37" s="140">
        <f>SUM(J35:J36)</f>
        <v>0</v>
      </c>
      <c r="K37" s="19"/>
      <c r="L37" s="137">
        <f>SUM(L34:L36)</f>
        <v>0</v>
      </c>
      <c r="M37" s="138"/>
      <c r="N37" s="138">
        <f>SUM(N34:N36)</f>
        <v>0</v>
      </c>
      <c r="O37" s="138"/>
      <c r="P37" s="138">
        <f>SUM(P34:P36)</f>
        <v>0</v>
      </c>
      <c r="Q37" s="239"/>
      <c r="R37" s="140">
        <f>SUM(R34:R36)</f>
        <v>0</v>
      </c>
      <c r="U37" s="399"/>
      <c r="AI37" s="59"/>
      <c r="AJ37" s="59"/>
      <c r="AK37" s="59"/>
      <c r="AL37" s="96"/>
      <c r="AM37" s="94"/>
      <c r="AN37" s="94"/>
      <c r="AO37" s="90"/>
      <c r="AP37" s="205">
        <f t="shared" si="0"/>
        <v>0</v>
      </c>
      <c r="AQ37" s="90"/>
      <c r="AR37" s="205">
        <f t="shared" si="1"/>
        <v>0</v>
      </c>
      <c r="AS37" s="205">
        <f t="shared" si="2"/>
        <v>0</v>
      </c>
      <c r="AT37" s="59"/>
      <c r="AU37" s="59"/>
      <c r="AV37" s="59"/>
      <c r="AW37" s="59"/>
      <c r="AX37" s="59"/>
      <c r="AY37" s="59"/>
      <c r="AZ37" s="59"/>
    </row>
    <row r="38" spans="2:52" ht="15.75" thickBot="1" x14ac:dyDescent="0.3"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U38" s="399"/>
      <c r="AI38" s="59"/>
      <c r="AJ38" s="59"/>
      <c r="AK38" s="59"/>
      <c r="AL38" s="96"/>
      <c r="AM38" s="94"/>
      <c r="AN38" s="94"/>
      <c r="AO38" s="90"/>
      <c r="AP38" s="205">
        <f t="shared" si="0"/>
        <v>0</v>
      </c>
      <c r="AQ38" s="90"/>
      <c r="AR38" s="205">
        <f t="shared" si="1"/>
        <v>0</v>
      </c>
      <c r="AS38" s="205">
        <f t="shared" si="2"/>
        <v>0</v>
      </c>
      <c r="AT38" s="59"/>
      <c r="AU38" s="59"/>
      <c r="AV38" s="59"/>
      <c r="AW38" s="59"/>
      <c r="AX38" s="59"/>
      <c r="AY38" s="59"/>
      <c r="AZ38" s="59"/>
    </row>
    <row r="39" spans="2:52" ht="15.75" thickBot="1" x14ac:dyDescent="0.3">
      <c r="F39" s="105"/>
      <c r="G39" s="105"/>
      <c r="H39" s="105"/>
      <c r="I39" s="105"/>
      <c r="J39" s="53" t="s">
        <v>268</v>
      </c>
      <c r="K39" s="105"/>
      <c r="L39" s="143">
        <f>+L37+L30</f>
        <v>0</v>
      </c>
      <c r="M39" s="88"/>
      <c r="N39" s="88"/>
      <c r="O39" s="88"/>
      <c r="P39" s="88"/>
      <c r="Q39" s="105"/>
      <c r="R39" s="143">
        <f>+R37+R30</f>
        <v>0</v>
      </c>
      <c r="U39" s="399"/>
      <c r="AK39" s="59"/>
      <c r="AL39" s="96"/>
      <c r="AM39" s="94"/>
      <c r="AN39" s="94"/>
      <c r="AO39" s="90"/>
      <c r="AP39" s="205">
        <f t="shared" si="0"/>
        <v>0</v>
      </c>
      <c r="AQ39" s="90"/>
      <c r="AR39" s="205">
        <f t="shared" si="1"/>
        <v>0</v>
      </c>
      <c r="AS39" s="205">
        <f t="shared" si="2"/>
        <v>0</v>
      </c>
    </row>
    <row r="40" spans="2:52" x14ac:dyDescent="0.25">
      <c r="U40" s="399"/>
      <c r="AK40" s="59"/>
      <c r="AL40" s="96"/>
      <c r="AM40" s="94"/>
      <c r="AN40" s="94"/>
      <c r="AO40" s="90"/>
      <c r="AP40" s="205">
        <f t="shared" si="0"/>
        <v>0</v>
      </c>
      <c r="AQ40" s="90"/>
      <c r="AR40" s="205">
        <f t="shared" si="1"/>
        <v>0</v>
      </c>
      <c r="AS40" s="205">
        <f t="shared" si="2"/>
        <v>0</v>
      </c>
    </row>
    <row r="41" spans="2:52" x14ac:dyDescent="0.25">
      <c r="U41" s="399"/>
    </row>
    <row r="42" spans="2:52" x14ac:dyDescent="0.25">
      <c r="U42" s="399"/>
    </row>
    <row r="43" spans="2:52" x14ac:dyDescent="0.25">
      <c r="U43" s="399"/>
    </row>
    <row r="44" spans="2:52" x14ac:dyDescent="0.25">
      <c r="U44" s="399"/>
    </row>
    <row r="45" spans="2:52" x14ac:dyDescent="0.25">
      <c r="U45" s="399"/>
    </row>
    <row r="46" spans="2:52" x14ac:dyDescent="0.25">
      <c r="U46" s="399"/>
    </row>
  </sheetData>
  <mergeCells count="5">
    <mergeCell ref="U1:U46"/>
    <mergeCell ref="W3:AC3"/>
    <mergeCell ref="AT3:AZ3"/>
    <mergeCell ref="W4:AC4"/>
    <mergeCell ref="AT4:AZ4"/>
  </mergeCells>
  <pageMargins left="0.27" right="0.25" top="0.43" bottom="0.4" header="0.3" footer="0.17"/>
  <pageSetup scale="73" orientation="portrait" r:id="rId1"/>
  <headerFooter>
    <oddFooter>&amp;L&amp;D &amp;F&amp;C25&amp;R&amp;A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9">
    <pageSetUpPr fitToPage="1"/>
  </sheetPr>
  <dimension ref="A1:BA48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6.14062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28515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31.85546875" hidden="1" customWidth="1"/>
    <col min="31" max="31" width="18" hidden="1" customWidth="1"/>
    <col min="32" max="32" width="19.42578125" hidden="1" customWidth="1"/>
    <col min="33" max="33" width="16.140625" hidden="1" customWidth="1"/>
    <col min="34" max="34" width="14.42578125" hidden="1" customWidth="1"/>
    <col min="35" max="35" width="0" hidden="1" customWidth="1"/>
    <col min="36" max="36" width="13.85546875" hidden="1" customWidth="1"/>
    <col min="37" max="41" width="0" hidden="1" customWidth="1"/>
    <col min="42" max="42" width="12.42578125" hidden="1" customWidth="1"/>
    <col min="43" max="43" width="10" hidden="1" customWidth="1"/>
    <col min="44" max="44" width="20.42578125" hidden="1" customWidth="1"/>
    <col min="45" max="45" width="18.140625" hidden="1" customWidth="1"/>
    <col min="46" max="51" width="0" hidden="1" customWidth="1"/>
    <col min="52" max="52" width="12.85546875" hidden="1" customWidth="1"/>
    <col min="53" max="54" width="0" hidden="1" customWidth="1"/>
  </cols>
  <sheetData>
    <row r="1" spans="1:34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34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  <c r="W2" s="7" t="s">
        <v>377</v>
      </c>
    </row>
    <row r="3" spans="1:34" ht="16.5" thickBot="1" x14ac:dyDescent="0.3">
      <c r="A3" s="4" t="s">
        <v>256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198" t="s">
        <v>287</v>
      </c>
      <c r="X3" s="198"/>
      <c r="Y3" s="198"/>
      <c r="Z3" s="198"/>
      <c r="AA3" s="198"/>
      <c r="AB3" s="198"/>
      <c r="AC3" s="198"/>
    </row>
    <row r="4" spans="1:34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197"/>
      <c r="X4" s="197"/>
      <c r="Y4" s="197"/>
      <c r="Z4" s="197"/>
      <c r="AA4" s="197"/>
      <c r="AB4" s="197"/>
      <c r="AC4" s="197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</row>
    <row r="5" spans="1:34" ht="15.75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/>
      <c r="N5" s="220" t="str">
        <f>'GF Summary 10'!N6</f>
        <v>Forecast</v>
      </c>
      <c r="O5" s="220"/>
      <c r="P5" s="227" t="str">
        <f>'GF Summary 10'!P6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</row>
    <row r="6" spans="1:34" ht="15.75" thickBot="1" x14ac:dyDescent="0.3">
      <c r="F6" s="223" t="str">
        <f>'GF Summary 10'!$F$7</f>
        <v>FY 22-23</v>
      </c>
      <c r="G6" s="225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/>
      <c r="N6" s="225" t="str">
        <f>'GF Summary 10'!N7</f>
        <v>FY 25-26</v>
      </c>
      <c r="O6" s="225"/>
      <c r="P6" s="228" t="str">
        <f>'GF Summary 10'!P7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69" t="e">
        <f>+#REF!</f>
        <v>#REF!</v>
      </c>
      <c r="AF6" s="69" t="e">
        <f>+#REF!</f>
        <v>#REF!</v>
      </c>
      <c r="AG6" s="69" t="e">
        <f>+#REF!</f>
        <v>#REF!</v>
      </c>
      <c r="AH6" s="69" t="e">
        <f>+#REF!</f>
        <v>#REF!</v>
      </c>
    </row>
    <row r="7" spans="1:34" ht="15.75" thickBot="1" x14ac:dyDescent="0.3">
      <c r="B7" s="7" t="s">
        <v>29</v>
      </c>
      <c r="F7" s="371"/>
      <c r="G7" s="128"/>
      <c r="H7" s="217"/>
      <c r="I7" s="128"/>
      <c r="J7" s="372"/>
      <c r="K7" s="19"/>
      <c r="L7" s="371"/>
      <c r="M7" s="128"/>
      <c r="N7" s="217"/>
      <c r="O7" s="128"/>
      <c r="P7" s="217"/>
      <c r="Q7" s="239"/>
      <c r="R7" s="372"/>
      <c r="S7" s="5"/>
      <c r="U7" s="399"/>
      <c r="W7" s="59" t="s">
        <v>333</v>
      </c>
      <c r="X7" s="59" t="s">
        <v>276</v>
      </c>
      <c r="Y7" s="59" t="s">
        <v>277</v>
      </c>
      <c r="Z7" s="59" t="s">
        <v>278</v>
      </c>
      <c r="AA7" s="59" t="s">
        <v>314</v>
      </c>
      <c r="AB7" s="59" t="s">
        <v>276</v>
      </c>
      <c r="AC7" s="59" t="s">
        <v>278</v>
      </c>
      <c r="AD7" s="173" t="s">
        <v>324</v>
      </c>
      <c r="AE7" s="91"/>
      <c r="AF7" s="91"/>
      <c r="AG7" s="91"/>
      <c r="AH7" s="91"/>
    </row>
    <row r="8" spans="1:34" ht="15.75" thickBot="1" x14ac:dyDescent="0.3">
      <c r="C8" t="s">
        <v>263</v>
      </c>
      <c r="F8" s="122">
        <v>34369</v>
      </c>
      <c r="G8" s="19"/>
      <c r="H8" s="19">
        <v>32146</v>
      </c>
      <c r="I8" s="19"/>
      <c r="J8" s="123">
        <v>29759</v>
      </c>
      <c r="K8" s="19"/>
      <c r="L8" s="122">
        <v>0</v>
      </c>
      <c r="M8" s="19"/>
      <c r="N8" s="19">
        <v>0</v>
      </c>
      <c r="O8" s="19"/>
      <c r="P8" s="19">
        <f t="shared" ref="P8" si="0">R8-L8</f>
        <v>31567</v>
      </c>
      <c r="Q8" s="239"/>
      <c r="R8" s="123">
        <v>31567</v>
      </c>
      <c r="S8" s="5"/>
      <c r="U8" s="399"/>
      <c r="W8" s="59" t="s">
        <v>333</v>
      </c>
      <c r="X8" s="59" t="s">
        <v>276</v>
      </c>
      <c r="Y8" s="59" t="s">
        <v>277</v>
      </c>
      <c r="Z8" s="59" t="s">
        <v>278</v>
      </c>
      <c r="AA8" s="59" t="s">
        <v>334</v>
      </c>
      <c r="AB8" s="59" t="s">
        <v>276</v>
      </c>
      <c r="AC8" s="59" t="s">
        <v>335</v>
      </c>
      <c r="AD8" s="173" t="s">
        <v>325</v>
      </c>
      <c r="AE8" s="91"/>
      <c r="AF8" s="91"/>
      <c r="AG8" s="91"/>
      <c r="AH8" s="91"/>
    </row>
    <row r="9" spans="1:34" ht="15.75" thickBot="1" x14ac:dyDescent="0.3">
      <c r="C9" t="s">
        <v>264</v>
      </c>
      <c r="F9" s="131">
        <v>448294</v>
      </c>
      <c r="G9" s="19"/>
      <c r="H9" s="19">
        <v>346236</v>
      </c>
      <c r="I9" s="19"/>
      <c r="J9" s="123">
        <v>350245</v>
      </c>
      <c r="K9" s="19"/>
      <c r="L9" s="122">
        <v>277663</v>
      </c>
      <c r="M9" s="19"/>
      <c r="N9" s="19">
        <v>330576</v>
      </c>
      <c r="O9" s="19"/>
      <c r="P9" s="19">
        <f>R9-L9</f>
        <v>21346</v>
      </c>
      <c r="Q9" s="239"/>
      <c r="R9" s="123">
        <v>299009</v>
      </c>
      <c r="S9" s="5"/>
      <c r="U9" s="399"/>
      <c r="W9" s="59" t="s">
        <v>333</v>
      </c>
      <c r="X9" s="59" t="s">
        <v>276</v>
      </c>
      <c r="Y9" s="59" t="s">
        <v>277</v>
      </c>
      <c r="Z9" s="59" t="s">
        <v>278</v>
      </c>
      <c r="AA9" s="59" t="s">
        <v>334</v>
      </c>
      <c r="AB9" s="59" t="s">
        <v>276</v>
      </c>
      <c r="AC9" s="59" t="s">
        <v>336</v>
      </c>
      <c r="AD9" s="173" t="s">
        <v>326</v>
      </c>
      <c r="AE9" s="91"/>
      <c r="AF9" s="91"/>
      <c r="AG9" s="91"/>
      <c r="AH9" s="91"/>
    </row>
    <row r="10" spans="1:34" ht="15.75" thickBot="1" x14ac:dyDescent="0.3">
      <c r="B10" s="7" t="s">
        <v>31</v>
      </c>
      <c r="F10" s="124">
        <f>SUM(F8:F9)</f>
        <v>482663</v>
      </c>
      <c r="G10" s="128"/>
      <c r="H10" s="126">
        <f>SUM(H8:H9)</f>
        <v>378382</v>
      </c>
      <c r="I10" s="128"/>
      <c r="J10" s="127">
        <f>SUM(J8:J9)</f>
        <v>380004</v>
      </c>
      <c r="K10" s="19"/>
      <c r="L10" s="124">
        <f>SUM(L8:L9)</f>
        <v>277663</v>
      </c>
      <c r="M10" s="128"/>
      <c r="N10" s="126">
        <f>SUM(N8:N9)</f>
        <v>330576</v>
      </c>
      <c r="O10" s="128"/>
      <c r="P10" s="126">
        <f>SUM(P8:P9)</f>
        <v>52913</v>
      </c>
      <c r="Q10" s="239"/>
      <c r="R10" s="127">
        <f>SUM(R8:R9)</f>
        <v>330576</v>
      </c>
      <c r="S10" s="5"/>
      <c r="U10" s="399"/>
      <c r="W10" s="59" t="s">
        <v>333</v>
      </c>
      <c r="X10" s="59" t="s">
        <v>276</v>
      </c>
      <c r="Y10" s="59" t="s">
        <v>277</v>
      </c>
      <c r="Z10" s="59" t="s">
        <v>278</v>
      </c>
      <c r="AA10" s="59" t="s">
        <v>337</v>
      </c>
      <c r="AB10" s="59" t="s">
        <v>276</v>
      </c>
      <c r="AC10" s="59" t="s">
        <v>278</v>
      </c>
      <c r="AD10" s="173" t="s">
        <v>327</v>
      </c>
      <c r="AE10" s="91"/>
      <c r="AF10" s="91"/>
      <c r="AG10" s="91"/>
      <c r="AH10" s="91"/>
    </row>
    <row r="11" spans="1:34" ht="15.75" thickBot="1" x14ac:dyDescent="0.3">
      <c r="F11" s="129"/>
      <c r="G11" s="128"/>
      <c r="H11" s="128"/>
      <c r="I11" s="128"/>
      <c r="J11" s="130"/>
      <c r="K11" s="19"/>
      <c r="L11" s="129"/>
      <c r="M11" s="128"/>
      <c r="N11" s="128"/>
      <c r="O11" s="128"/>
      <c r="P11" s="128"/>
      <c r="Q11" s="239"/>
      <c r="R11" s="130"/>
      <c r="S11" s="5"/>
      <c r="U11" s="399"/>
      <c r="W11" s="59" t="s">
        <v>333</v>
      </c>
      <c r="X11" s="59" t="s">
        <v>276</v>
      </c>
      <c r="Y11" s="59" t="s">
        <v>277</v>
      </c>
      <c r="Z11" s="59" t="s">
        <v>278</v>
      </c>
      <c r="AA11" s="59" t="s">
        <v>338</v>
      </c>
      <c r="AB11" s="59" t="s">
        <v>276</v>
      </c>
      <c r="AC11" s="59" t="s">
        <v>278</v>
      </c>
      <c r="AD11" s="173" t="s">
        <v>328</v>
      </c>
      <c r="AE11" s="91"/>
      <c r="AF11" s="91"/>
      <c r="AG11" s="91"/>
      <c r="AH11" s="91"/>
    </row>
    <row r="12" spans="1:34" ht="15.75" thickBot="1" x14ac:dyDescent="0.3">
      <c r="B12" s="7" t="s">
        <v>32</v>
      </c>
      <c r="F12" s="122"/>
      <c r="G12" s="19"/>
      <c r="H12" s="19"/>
      <c r="I12" s="19"/>
      <c r="J12" s="123"/>
      <c r="K12" s="19"/>
      <c r="L12" s="122"/>
      <c r="M12" s="19"/>
      <c r="N12" s="19"/>
      <c r="O12" s="19"/>
      <c r="P12" s="19"/>
      <c r="Q12" s="239"/>
      <c r="R12" s="123"/>
      <c r="U12" s="399"/>
      <c r="W12" s="59" t="s">
        <v>333</v>
      </c>
      <c r="X12" s="59" t="s">
        <v>276</v>
      </c>
      <c r="Y12" s="59" t="s">
        <v>277</v>
      </c>
      <c r="Z12" s="59" t="s">
        <v>278</v>
      </c>
      <c r="AA12" s="59" t="s">
        <v>339</v>
      </c>
      <c r="AB12" s="59" t="s">
        <v>276</v>
      </c>
      <c r="AC12" s="59" t="s">
        <v>278</v>
      </c>
      <c r="AD12" s="173" t="s">
        <v>329</v>
      </c>
      <c r="AE12" s="91"/>
      <c r="AF12" s="91"/>
      <c r="AG12" s="91"/>
      <c r="AH12" s="91"/>
    </row>
    <row r="13" spans="1:34" ht="15.75" thickBot="1" x14ac:dyDescent="0.3">
      <c r="B13" s="7" t="s">
        <v>246</v>
      </c>
      <c r="C13" t="s">
        <v>33</v>
      </c>
      <c r="F13" s="122">
        <v>384613</v>
      </c>
      <c r="G13" s="19"/>
      <c r="H13" s="19">
        <v>52214</v>
      </c>
      <c r="I13" s="19"/>
      <c r="J13" s="123">
        <f>43908+301</f>
        <v>44209</v>
      </c>
      <c r="K13" s="19"/>
      <c r="L13" s="122">
        <v>50050</v>
      </c>
      <c r="M13" s="19"/>
      <c r="N13" s="19">
        <v>50050</v>
      </c>
      <c r="O13" s="19"/>
      <c r="P13" s="19">
        <f t="shared" ref="P13:P16" si="1">R13-L13</f>
        <v>-4355</v>
      </c>
      <c r="Q13" s="239"/>
      <c r="R13" s="123">
        <v>45695</v>
      </c>
      <c r="U13" s="399"/>
      <c r="W13" s="59" t="s">
        <v>333</v>
      </c>
      <c r="X13" s="59" t="s">
        <v>276</v>
      </c>
      <c r="Y13" s="59" t="s">
        <v>277</v>
      </c>
      <c r="Z13" s="59" t="s">
        <v>278</v>
      </c>
      <c r="AA13" s="59" t="s">
        <v>340</v>
      </c>
      <c r="AB13" s="59" t="s">
        <v>276</v>
      </c>
      <c r="AC13" s="59" t="s">
        <v>278</v>
      </c>
      <c r="AD13" s="173" t="s">
        <v>330</v>
      </c>
      <c r="AE13" s="91"/>
      <c r="AF13" s="91"/>
      <c r="AG13" s="91"/>
      <c r="AH13" s="91"/>
    </row>
    <row r="14" spans="1:34" ht="15.75" thickBot="1" x14ac:dyDescent="0.3">
      <c r="B14" s="7" t="s">
        <v>247</v>
      </c>
      <c r="C14" t="s">
        <v>35</v>
      </c>
      <c r="F14" s="122">
        <v>12969</v>
      </c>
      <c r="G14" s="19"/>
      <c r="H14" s="19">
        <v>537880</v>
      </c>
      <c r="I14" s="19"/>
      <c r="J14" s="123">
        <v>507418</v>
      </c>
      <c r="K14" s="19"/>
      <c r="L14" s="122">
        <v>572694</v>
      </c>
      <c r="M14" s="19"/>
      <c r="N14" s="19">
        <v>572694</v>
      </c>
      <c r="O14" s="19"/>
      <c r="P14" s="19">
        <f t="shared" si="1"/>
        <v>9046</v>
      </c>
      <c r="Q14" s="239"/>
      <c r="R14" s="123">
        <v>581740</v>
      </c>
      <c r="U14" s="399"/>
      <c r="W14" s="59" t="s">
        <v>333</v>
      </c>
      <c r="X14" s="59" t="s">
        <v>276</v>
      </c>
      <c r="Y14" s="59" t="s">
        <v>277</v>
      </c>
      <c r="Z14" s="59" t="s">
        <v>278</v>
      </c>
      <c r="AA14" s="59" t="s">
        <v>281</v>
      </c>
      <c r="AB14" s="59" t="s">
        <v>276</v>
      </c>
      <c r="AC14" s="59" t="s">
        <v>341</v>
      </c>
      <c r="AD14" s="173" t="s">
        <v>348</v>
      </c>
      <c r="AE14" s="91"/>
      <c r="AF14" s="91"/>
      <c r="AG14" s="91"/>
      <c r="AH14" s="91"/>
    </row>
    <row r="15" spans="1:34" x14ac:dyDescent="0.25">
      <c r="B15" s="7" t="s">
        <v>248</v>
      </c>
      <c r="C15" t="s">
        <v>36</v>
      </c>
      <c r="F15" s="122">
        <v>470833</v>
      </c>
      <c r="G15" s="19"/>
      <c r="H15" s="19">
        <v>691717</v>
      </c>
      <c r="I15" s="19"/>
      <c r="J15" s="123">
        <v>734563</v>
      </c>
      <c r="K15" s="19"/>
      <c r="L15" s="122">
        <v>739342</v>
      </c>
      <c r="M15" s="19"/>
      <c r="N15" s="19">
        <v>739342</v>
      </c>
      <c r="O15" s="19"/>
      <c r="P15" s="19">
        <f t="shared" si="1"/>
        <v>22545</v>
      </c>
      <c r="Q15" s="239"/>
      <c r="R15" s="123">
        <v>761887</v>
      </c>
      <c r="U15" s="399"/>
      <c r="W15" s="59" t="s">
        <v>333</v>
      </c>
      <c r="X15" s="59" t="s">
        <v>276</v>
      </c>
      <c r="Y15" s="59" t="s">
        <v>277</v>
      </c>
      <c r="Z15" s="59" t="s">
        <v>278</v>
      </c>
      <c r="AA15" s="59" t="s">
        <v>281</v>
      </c>
      <c r="AB15" s="59" t="s">
        <v>276</v>
      </c>
      <c r="AC15" s="59" t="s">
        <v>343</v>
      </c>
      <c r="AD15" t="s">
        <v>342</v>
      </c>
      <c r="AE15" s="91"/>
      <c r="AF15" s="91"/>
      <c r="AG15" s="91"/>
      <c r="AH15" s="91"/>
    </row>
    <row r="16" spans="1:34" ht="20.100000000000001" customHeight="1" thickBot="1" x14ac:dyDescent="0.3">
      <c r="B16" s="117">
        <v>5210</v>
      </c>
      <c r="C16" t="s">
        <v>159</v>
      </c>
      <c r="F16" s="131">
        <v>42979</v>
      </c>
      <c r="G16" s="19"/>
      <c r="H16" s="132">
        <v>0</v>
      </c>
      <c r="I16" s="19"/>
      <c r="J16" s="133">
        <v>0</v>
      </c>
      <c r="K16" s="19"/>
      <c r="L16" s="131">
        <v>35000</v>
      </c>
      <c r="M16" s="19"/>
      <c r="N16" s="132">
        <v>70000</v>
      </c>
      <c r="O16" s="19"/>
      <c r="P16" s="132">
        <f t="shared" si="1"/>
        <v>5000</v>
      </c>
      <c r="Q16" s="239"/>
      <c r="R16" s="133">
        <v>40000</v>
      </c>
      <c r="U16" s="399"/>
      <c r="W16" s="59" t="s">
        <v>333</v>
      </c>
      <c r="X16" s="59" t="s">
        <v>276</v>
      </c>
      <c r="Y16" s="59" t="s">
        <v>277</v>
      </c>
      <c r="Z16" s="59" t="s">
        <v>278</v>
      </c>
      <c r="AA16" s="59" t="s">
        <v>281</v>
      </c>
      <c r="AB16" s="59" t="s">
        <v>276</v>
      </c>
      <c r="AC16" s="59" t="s">
        <v>344</v>
      </c>
      <c r="AD16" t="s">
        <v>347</v>
      </c>
    </row>
    <row r="17" spans="2:53" ht="15.75" thickBot="1" x14ac:dyDescent="0.3">
      <c r="B17" s="7" t="s">
        <v>37</v>
      </c>
      <c r="F17" s="122">
        <f>SUM(F12:F16)</f>
        <v>911394</v>
      </c>
      <c r="G17" s="19"/>
      <c r="H17" s="19">
        <f>SUM(H12:H16)</f>
        <v>1281811</v>
      </c>
      <c r="I17" s="19"/>
      <c r="J17" s="123">
        <f>SUM(J12:J16)</f>
        <v>1286190</v>
      </c>
      <c r="K17" s="19"/>
      <c r="L17" s="122">
        <f>SUM(L12:L16)</f>
        <v>1397086</v>
      </c>
      <c r="M17" s="19"/>
      <c r="N17" s="19">
        <f>SUM(N12:N16)</f>
        <v>1432086</v>
      </c>
      <c r="O17" s="19"/>
      <c r="P17" s="19">
        <f>SUM(P12:P16)</f>
        <v>32236</v>
      </c>
      <c r="Q17" s="239"/>
      <c r="R17" s="123">
        <f>SUM(R12:R16)</f>
        <v>1429322</v>
      </c>
      <c r="U17" s="399"/>
      <c r="W17" s="59" t="s">
        <v>333</v>
      </c>
      <c r="X17" s="59" t="s">
        <v>276</v>
      </c>
      <c r="Y17" s="59" t="s">
        <v>277</v>
      </c>
      <c r="Z17" s="59" t="s">
        <v>278</v>
      </c>
      <c r="AA17" s="59" t="s">
        <v>281</v>
      </c>
      <c r="AB17" s="59" t="s">
        <v>276</v>
      </c>
      <c r="AC17" s="59" t="s">
        <v>345</v>
      </c>
      <c r="AD17" s="173" t="s">
        <v>346</v>
      </c>
    </row>
    <row r="18" spans="2:53" ht="15.75" thickBot="1" x14ac:dyDescent="0.3">
      <c r="F18" s="122"/>
      <c r="G18" s="19"/>
      <c r="H18" s="19"/>
      <c r="I18" s="19"/>
      <c r="J18" s="123"/>
      <c r="K18" s="19"/>
      <c r="L18" s="122"/>
      <c r="M18" s="19"/>
      <c r="N18" s="19"/>
      <c r="O18" s="19"/>
      <c r="P18" s="19"/>
      <c r="Q18" s="239"/>
      <c r="R18" s="123"/>
      <c r="U18" s="399"/>
      <c r="W18" s="59" t="s">
        <v>333</v>
      </c>
      <c r="X18" s="59" t="s">
        <v>276</v>
      </c>
      <c r="Y18" s="59" t="s">
        <v>277</v>
      </c>
      <c r="Z18" s="59" t="s">
        <v>278</v>
      </c>
      <c r="AA18" s="59" t="s">
        <v>281</v>
      </c>
      <c r="AB18" s="59" t="s">
        <v>276</v>
      </c>
      <c r="AC18" s="59" t="s">
        <v>350</v>
      </c>
      <c r="AD18" t="s">
        <v>349</v>
      </c>
    </row>
    <row r="19" spans="2:53" ht="15.75" thickBot="1" x14ac:dyDescent="0.3">
      <c r="B19" s="7" t="s">
        <v>38</v>
      </c>
      <c r="F19" s="131">
        <f>F10+F17</f>
        <v>1394057</v>
      </c>
      <c r="G19" s="19"/>
      <c r="H19" s="132">
        <f>H10+H17</f>
        <v>1660193</v>
      </c>
      <c r="I19" s="19"/>
      <c r="J19" s="133">
        <f>J10+J17</f>
        <v>1666194</v>
      </c>
      <c r="K19" s="19"/>
      <c r="L19" s="131">
        <f>L10+L17</f>
        <v>1674749</v>
      </c>
      <c r="M19" s="19"/>
      <c r="N19" s="132">
        <f>N10+N17</f>
        <v>1762662</v>
      </c>
      <c r="O19" s="19"/>
      <c r="P19" s="132">
        <f>P10+P17</f>
        <v>85149</v>
      </c>
      <c r="Q19" s="239"/>
      <c r="R19" s="133">
        <f>R10+R17</f>
        <v>1759898</v>
      </c>
      <c r="U19" s="399"/>
      <c r="W19" s="59" t="s">
        <v>333</v>
      </c>
      <c r="X19" s="59" t="s">
        <v>276</v>
      </c>
      <c r="Y19" s="59" t="s">
        <v>277</v>
      </c>
      <c r="Z19" s="59" t="s">
        <v>278</v>
      </c>
      <c r="AA19" s="59" t="s">
        <v>280</v>
      </c>
      <c r="AB19" s="59" t="s">
        <v>276</v>
      </c>
      <c r="AC19" s="59" t="s">
        <v>335</v>
      </c>
      <c r="AD19" s="173" t="s">
        <v>411</v>
      </c>
    </row>
    <row r="20" spans="2:53" ht="15.75" thickBot="1" x14ac:dyDescent="0.3">
      <c r="F20" s="122"/>
      <c r="G20" s="19"/>
      <c r="H20" s="126"/>
      <c r="I20" s="19"/>
      <c r="J20" s="127"/>
      <c r="K20" s="19"/>
      <c r="L20" s="122"/>
      <c r="M20" s="19"/>
      <c r="N20" s="126"/>
      <c r="O20" s="19"/>
      <c r="P20" s="126"/>
      <c r="Q20" s="239"/>
      <c r="R20" s="127"/>
      <c r="U20" s="399"/>
      <c r="W20" s="59" t="s">
        <v>333</v>
      </c>
      <c r="X20" s="59" t="s">
        <v>276</v>
      </c>
      <c r="Y20" s="59" t="s">
        <v>277</v>
      </c>
      <c r="Z20" s="59" t="s">
        <v>278</v>
      </c>
      <c r="AA20" s="59" t="s">
        <v>280</v>
      </c>
      <c r="AB20" s="59" t="s">
        <v>276</v>
      </c>
      <c r="AC20" s="59" t="s">
        <v>336</v>
      </c>
      <c r="AD20" s="173" t="s">
        <v>351</v>
      </c>
    </row>
    <row r="21" spans="2:53" ht="15.75" thickBot="1" x14ac:dyDescent="0.3">
      <c r="B21" s="7" t="s">
        <v>39</v>
      </c>
      <c r="F21" s="122"/>
      <c r="G21" s="19"/>
      <c r="H21" s="19"/>
      <c r="I21" s="19"/>
      <c r="J21" s="123"/>
      <c r="K21" s="19"/>
      <c r="L21" s="122"/>
      <c r="M21" s="19"/>
      <c r="N21" s="19"/>
      <c r="O21" s="19"/>
      <c r="P21" s="19"/>
      <c r="Q21" s="239"/>
      <c r="R21" s="123"/>
      <c r="U21" s="399"/>
      <c r="W21" s="59" t="s">
        <v>333</v>
      </c>
      <c r="X21" s="59" t="s">
        <v>276</v>
      </c>
      <c r="Y21" s="59" t="s">
        <v>277</v>
      </c>
      <c r="Z21" s="59" t="s">
        <v>278</v>
      </c>
      <c r="AA21" s="59" t="s">
        <v>280</v>
      </c>
      <c r="AB21" s="59" t="s">
        <v>276</v>
      </c>
      <c r="AC21" s="59" t="s">
        <v>354</v>
      </c>
      <c r="AD21" s="173" t="s">
        <v>352</v>
      </c>
    </row>
    <row r="22" spans="2:53" ht="15.75" thickBot="1" x14ac:dyDescent="0.3">
      <c r="B22" s="87" t="s">
        <v>204</v>
      </c>
      <c r="C22" t="s">
        <v>60</v>
      </c>
      <c r="F22" s="122">
        <v>373434</v>
      </c>
      <c r="G22" s="19"/>
      <c r="H22" s="19">
        <v>431335</v>
      </c>
      <c r="I22" s="19"/>
      <c r="J22" s="123">
        <v>494083</v>
      </c>
      <c r="K22" s="19"/>
      <c r="L22" s="122">
        <v>476603</v>
      </c>
      <c r="M22" s="19"/>
      <c r="N22" s="19">
        <v>476603</v>
      </c>
      <c r="O22" s="19"/>
      <c r="P22" s="19">
        <f t="shared" ref="P22:P30" si="2">R22-L22</f>
        <v>5926</v>
      </c>
      <c r="Q22" s="239"/>
      <c r="R22" s="123">
        <v>482529</v>
      </c>
      <c r="U22" s="399"/>
      <c r="W22" s="59" t="s">
        <v>333</v>
      </c>
      <c r="X22" s="59" t="s">
        <v>276</v>
      </c>
      <c r="Y22" s="59" t="s">
        <v>277</v>
      </c>
      <c r="Z22" s="59" t="s">
        <v>278</v>
      </c>
      <c r="AA22" s="59" t="s">
        <v>353</v>
      </c>
      <c r="AB22" s="59" t="s">
        <v>276</v>
      </c>
      <c r="AC22" s="59" t="s">
        <v>350</v>
      </c>
      <c r="AD22" s="173" t="s">
        <v>331</v>
      </c>
    </row>
    <row r="23" spans="2:53" ht="15.75" thickBot="1" x14ac:dyDescent="0.3">
      <c r="B23" s="87" t="s">
        <v>196</v>
      </c>
      <c r="C23" t="s">
        <v>61</v>
      </c>
      <c r="F23" s="122">
        <v>126006</v>
      </c>
      <c r="G23" s="19"/>
      <c r="H23" s="19">
        <v>139433</v>
      </c>
      <c r="I23" s="19"/>
      <c r="J23" s="123">
        <v>148815</v>
      </c>
      <c r="K23" s="19"/>
      <c r="L23" s="122">
        <v>156977</v>
      </c>
      <c r="M23" s="19"/>
      <c r="N23" s="19">
        <v>156977</v>
      </c>
      <c r="O23" s="19"/>
      <c r="P23" s="19">
        <f t="shared" si="2"/>
        <v>49821</v>
      </c>
      <c r="Q23" s="239"/>
      <c r="R23" s="123">
        <v>206798</v>
      </c>
      <c r="U23" s="399"/>
      <c r="W23" s="59" t="s">
        <v>333</v>
      </c>
      <c r="X23" s="59" t="s">
        <v>276</v>
      </c>
      <c r="Y23" s="59" t="s">
        <v>277</v>
      </c>
      <c r="Z23" s="59" t="s">
        <v>278</v>
      </c>
      <c r="AA23" s="59" t="s">
        <v>290</v>
      </c>
      <c r="AB23" s="59" t="s">
        <v>276</v>
      </c>
      <c r="AC23" s="59" t="s">
        <v>278</v>
      </c>
      <c r="AD23" s="173" t="s">
        <v>332</v>
      </c>
    </row>
    <row r="24" spans="2:53" x14ac:dyDescent="0.25">
      <c r="B24" s="87" t="s">
        <v>197</v>
      </c>
      <c r="C24" t="s">
        <v>62</v>
      </c>
      <c r="F24" s="122">
        <v>1904</v>
      </c>
      <c r="G24" s="19"/>
      <c r="H24" s="19">
        <v>990</v>
      </c>
      <c r="I24" s="19"/>
      <c r="J24" s="123">
        <v>0</v>
      </c>
      <c r="K24" s="19"/>
      <c r="L24" s="122">
        <v>12055</v>
      </c>
      <c r="M24" s="19"/>
      <c r="N24" s="19">
        <v>12055</v>
      </c>
      <c r="O24" s="19"/>
      <c r="P24" s="19">
        <f t="shared" si="2"/>
        <v>-3480</v>
      </c>
      <c r="Q24" s="239"/>
      <c r="R24" s="123">
        <v>8575</v>
      </c>
      <c r="U24" s="399"/>
    </row>
    <row r="25" spans="2:53" ht="16.5" thickBot="1" x14ac:dyDescent="0.3">
      <c r="B25" s="87" t="s">
        <v>198</v>
      </c>
      <c r="C25" t="s">
        <v>63</v>
      </c>
      <c r="F25" s="122">
        <v>20161</v>
      </c>
      <c r="G25" s="19"/>
      <c r="H25" s="19">
        <v>14155</v>
      </c>
      <c r="I25" s="19"/>
      <c r="J25" s="123">
        <v>5713</v>
      </c>
      <c r="K25" s="19"/>
      <c r="L25" s="122">
        <v>0</v>
      </c>
      <c r="M25" s="19"/>
      <c r="N25" s="19">
        <v>0</v>
      </c>
      <c r="O25" s="19"/>
      <c r="P25" s="19">
        <f t="shared" si="2"/>
        <v>0</v>
      </c>
      <c r="Q25" s="239"/>
      <c r="R25" s="123">
        <v>0</v>
      </c>
      <c r="U25" s="399"/>
      <c r="W25" s="400" t="s">
        <v>285</v>
      </c>
      <c r="X25" s="400"/>
      <c r="Y25" s="400"/>
      <c r="Z25" s="400"/>
      <c r="AA25" s="400"/>
      <c r="AB25" s="400"/>
      <c r="AC25" s="400"/>
      <c r="AJ25" s="59"/>
      <c r="AK25" s="59"/>
      <c r="AL25" s="59"/>
      <c r="AM25" s="5"/>
      <c r="AN25" s="5"/>
      <c r="AO25" s="5"/>
      <c r="AP25" s="5"/>
      <c r="AU25" s="400" t="s">
        <v>286</v>
      </c>
      <c r="AV25" s="400"/>
      <c r="AW25" s="400"/>
      <c r="AX25" s="400"/>
      <c r="AY25" s="400"/>
      <c r="AZ25" s="400"/>
      <c r="BA25" s="400"/>
    </row>
    <row r="26" spans="2:53" ht="16.5" thickBot="1" x14ac:dyDescent="0.3">
      <c r="B26" s="87" t="s">
        <v>199</v>
      </c>
      <c r="C26" t="s">
        <v>49</v>
      </c>
      <c r="F26" s="122">
        <v>587</v>
      </c>
      <c r="G26" s="19"/>
      <c r="H26" s="19">
        <v>1955</v>
      </c>
      <c r="I26" s="19"/>
      <c r="J26" s="123">
        <v>1519</v>
      </c>
      <c r="K26" s="19"/>
      <c r="L26" s="122">
        <v>0</v>
      </c>
      <c r="M26" s="19"/>
      <c r="N26" s="19">
        <v>0</v>
      </c>
      <c r="O26" s="19"/>
      <c r="P26" s="19">
        <f t="shared" si="2"/>
        <v>0</v>
      </c>
      <c r="Q26" s="239"/>
      <c r="R26" s="123">
        <v>0</v>
      </c>
      <c r="U26" s="399"/>
      <c r="W26" s="401" t="s">
        <v>273</v>
      </c>
      <c r="X26" s="401"/>
      <c r="Y26" s="401"/>
      <c r="Z26" s="401"/>
      <c r="AA26" s="401"/>
      <c r="AB26" s="401"/>
      <c r="AC26" s="401"/>
      <c r="AE26" s="70" t="e">
        <f>+#REF!</f>
        <v>#REF!</v>
      </c>
      <c r="AF26" s="70" t="e">
        <f>+#REF!</f>
        <v>#REF!</v>
      </c>
      <c r="AG26" s="70" t="e">
        <f>+#REF!</f>
        <v>#REF!</v>
      </c>
      <c r="AH26" s="70" t="e">
        <f>+#REF!</f>
        <v>#REF!</v>
      </c>
      <c r="AJ26" s="104"/>
      <c r="AK26" s="104"/>
      <c r="AL26" s="59"/>
      <c r="AM26" s="96"/>
      <c r="AN26" s="94"/>
      <c r="AO26" s="94"/>
      <c r="AP26" s="101" t="s">
        <v>238</v>
      </c>
      <c r="AQ26" s="103">
        <f>+BudgetAssump!$K$23+BudgetAssump!$K$24</f>
        <v>0.22850000000000001</v>
      </c>
      <c r="AR26" s="90"/>
      <c r="AS26" s="98" t="s">
        <v>236</v>
      </c>
      <c r="AT26" s="98"/>
      <c r="AU26" s="401" t="s">
        <v>272</v>
      </c>
      <c r="AV26" s="401"/>
      <c r="AW26" s="401"/>
      <c r="AX26" s="401"/>
      <c r="AY26" s="401"/>
      <c r="AZ26" s="401"/>
      <c r="BA26" s="401"/>
    </row>
    <row r="27" spans="2:53" ht="15.75" thickBot="1" x14ac:dyDescent="0.3">
      <c r="B27" s="87" t="s">
        <v>200</v>
      </c>
      <c r="C27" t="s">
        <v>64</v>
      </c>
      <c r="F27" s="122">
        <v>477821</v>
      </c>
      <c r="G27" s="19"/>
      <c r="H27" s="19">
        <v>625600</v>
      </c>
      <c r="I27" s="19"/>
      <c r="J27" s="123">
        <v>675547</v>
      </c>
      <c r="K27" s="19"/>
      <c r="L27" s="122">
        <v>746071</v>
      </c>
      <c r="M27" s="19"/>
      <c r="N27" s="19">
        <v>746071</v>
      </c>
      <c r="O27" s="19"/>
      <c r="P27" s="19">
        <f t="shared" si="2"/>
        <v>-20206</v>
      </c>
      <c r="Q27" s="239"/>
      <c r="R27" s="123">
        <v>725865</v>
      </c>
      <c r="U27" s="399"/>
      <c r="V27" s="187" t="s">
        <v>233</v>
      </c>
      <c r="W27" s="188" t="s">
        <v>231</v>
      </c>
      <c r="X27" s="188" t="s">
        <v>231</v>
      </c>
      <c r="Y27" s="188" t="s">
        <v>231</v>
      </c>
      <c r="Z27" s="188" t="s">
        <v>231</v>
      </c>
      <c r="AA27" s="188" t="s">
        <v>231</v>
      </c>
      <c r="AB27" s="188" t="s">
        <v>231</v>
      </c>
      <c r="AC27" s="188" t="s">
        <v>231</v>
      </c>
      <c r="AD27" s="187" t="s">
        <v>233</v>
      </c>
      <c r="AE27" s="188" t="s">
        <v>232</v>
      </c>
      <c r="AF27" s="188" t="s">
        <v>232</v>
      </c>
      <c r="AG27" s="188" t="s">
        <v>232</v>
      </c>
      <c r="AH27" s="188" t="s">
        <v>232</v>
      </c>
      <c r="AJ27" s="59" t="s">
        <v>231</v>
      </c>
      <c r="AK27" s="59" t="s">
        <v>231</v>
      </c>
      <c r="AL27" s="59" t="s">
        <v>231</v>
      </c>
      <c r="AM27" s="96" t="s">
        <v>232</v>
      </c>
      <c r="AN27" s="96" t="s">
        <v>232</v>
      </c>
      <c r="AO27" s="96" t="s">
        <v>232</v>
      </c>
      <c r="AP27" s="90" t="s">
        <v>232</v>
      </c>
      <c r="AQ27" s="98" t="s">
        <v>232</v>
      </c>
      <c r="AR27" s="90" t="s">
        <v>232</v>
      </c>
      <c r="AS27" s="98" t="s">
        <v>232</v>
      </c>
      <c r="AT27" s="98"/>
      <c r="AU27" s="90" t="s">
        <v>231</v>
      </c>
      <c r="AV27" s="90" t="s">
        <v>231</v>
      </c>
      <c r="AW27" s="90" t="s">
        <v>231</v>
      </c>
      <c r="AX27" s="90" t="s">
        <v>231</v>
      </c>
      <c r="AY27" s="90" t="s">
        <v>231</v>
      </c>
      <c r="AZ27" s="90" t="s">
        <v>231</v>
      </c>
      <c r="BA27" s="59" t="s">
        <v>231</v>
      </c>
    </row>
    <row r="28" spans="2:53" ht="15.75" thickBot="1" x14ac:dyDescent="0.3">
      <c r="B28" s="87" t="s">
        <v>201</v>
      </c>
      <c r="C28" t="s">
        <v>65</v>
      </c>
      <c r="F28" s="122">
        <v>13393</v>
      </c>
      <c r="G28" s="19"/>
      <c r="H28" s="19">
        <v>65158</v>
      </c>
      <c r="I28" s="19"/>
      <c r="J28" s="123">
        <v>7758</v>
      </c>
      <c r="K28" s="19"/>
      <c r="L28" s="122">
        <v>2900</v>
      </c>
      <c r="M28" s="19"/>
      <c r="N28" s="19">
        <v>2900</v>
      </c>
      <c r="O28" s="19"/>
      <c r="P28" s="19">
        <f t="shared" si="2"/>
        <v>455</v>
      </c>
      <c r="Q28" s="239"/>
      <c r="R28" s="123">
        <v>3355</v>
      </c>
      <c r="U28" s="399"/>
      <c r="W28" s="66" t="s">
        <v>144</v>
      </c>
      <c r="X28" s="69" t="s">
        <v>139</v>
      </c>
      <c r="Y28" s="67" t="s">
        <v>145</v>
      </c>
      <c r="Z28" s="69" t="s">
        <v>174</v>
      </c>
      <c r="AA28" s="67" t="s">
        <v>175</v>
      </c>
      <c r="AB28" s="69" t="s">
        <v>148</v>
      </c>
      <c r="AC28" s="68" t="s">
        <v>149</v>
      </c>
      <c r="AD28" s="68" t="s">
        <v>229</v>
      </c>
      <c r="AE28" s="69" t="e">
        <f>+#REF!</f>
        <v>#REF!</v>
      </c>
      <c r="AF28" s="69" t="e">
        <f>+#REF!</f>
        <v>#REF!</v>
      </c>
      <c r="AG28" s="69" t="e">
        <f>+#REF!</f>
        <v>#REF!</v>
      </c>
      <c r="AH28" s="69" t="e">
        <f>+#REF!</f>
        <v>#REF!</v>
      </c>
      <c r="AJ28" s="102" t="s">
        <v>138</v>
      </c>
      <c r="AK28" s="102" t="s">
        <v>150</v>
      </c>
      <c r="AL28" s="102" t="s">
        <v>235</v>
      </c>
      <c r="AM28" s="97" t="s">
        <v>140</v>
      </c>
      <c r="AN28" s="95" t="s">
        <v>141</v>
      </c>
      <c r="AO28" s="95" t="s">
        <v>142</v>
      </c>
      <c r="AP28" s="93" t="s">
        <v>143</v>
      </c>
      <c r="AQ28" s="99" t="s">
        <v>161</v>
      </c>
      <c r="AR28" s="93" t="s">
        <v>162</v>
      </c>
      <c r="AS28" s="99" t="s">
        <v>283</v>
      </c>
      <c r="AT28" s="99" t="s">
        <v>237</v>
      </c>
      <c r="AU28" s="58" t="s">
        <v>144</v>
      </c>
      <c r="AV28" s="58" t="s">
        <v>139</v>
      </c>
      <c r="AW28" s="58" t="s">
        <v>145</v>
      </c>
      <c r="AX28" s="58" t="s">
        <v>146</v>
      </c>
      <c r="AY28" s="58" t="s">
        <v>147</v>
      </c>
      <c r="AZ28" s="58" t="s">
        <v>148</v>
      </c>
      <c r="BA28" s="102" t="s">
        <v>149</v>
      </c>
    </row>
    <row r="29" spans="2:53" x14ac:dyDescent="0.25">
      <c r="B29" s="87" t="s">
        <v>202</v>
      </c>
      <c r="C29" t="s">
        <v>66</v>
      </c>
      <c r="F29" s="122">
        <v>2369</v>
      </c>
      <c r="G29" s="19"/>
      <c r="H29" s="19">
        <v>1563</v>
      </c>
      <c r="I29" s="19"/>
      <c r="J29" s="123">
        <v>2183</v>
      </c>
      <c r="K29" s="19"/>
      <c r="L29" s="122">
        <v>2480</v>
      </c>
      <c r="M29" s="19"/>
      <c r="N29" s="19">
        <v>2480</v>
      </c>
      <c r="O29" s="19"/>
      <c r="P29" s="19">
        <f t="shared" si="2"/>
        <v>-280</v>
      </c>
      <c r="Q29" s="239"/>
      <c r="R29" s="123">
        <v>2200</v>
      </c>
      <c r="U29" s="399"/>
      <c r="W29" s="59"/>
      <c r="X29" s="59"/>
      <c r="Y29" s="59"/>
      <c r="Z29" s="59"/>
      <c r="AA29" s="59"/>
      <c r="AB29" s="59"/>
      <c r="AC29" s="59"/>
      <c r="AD29" s="172"/>
      <c r="AE29" s="90"/>
      <c r="AF29" s="90"/>
      <c r="AG29" s="90"/>
      <c r="AH29" s="91"/>
      <c r="AJ29" s="59"/>
      <c r="AK29" s="59"/>
      <c r="AL29" s="59"/>
      <c r="AM29" s="96"/>
      <c r="AN29" s="94"/>
      <c r="AO29" s="94"/>
      <c r="AP29" s="90"/>
      <c r="AQ29" s="98">
        <f>+AP29*AQ$26</f>
        <v>0</v>
      </c>
      <c r="AR29" s="90"/>
      <c r="AS29" s="98">
        <f>AQ29+AR29</f>
        <v>0</v>
      </c>
      <c r="AT29" s="98">
        <f>+AS29+AP29</f>
        <v>0</v>
      </c>
      <c r="AU29" s="59"/>
      <c r="AV29" s="59"/>
      <c r="AW29" s="59"/>
      <c r="AX29" s="59"/>
      <c r="AY29" s="59"/>
      <c r="AZ29" s="59"/>
      <c r="BA29" s="59"/>
    </row>
    <row r="30" spans="2:53" x14ac:dyDescent="0.25">
      <c r="B30" s="87" t="s">
        <v>203</v>
      </c>
      <c r="C30" t="s">
        <v>67</v>
      </c>
      <c r="F30" s="131">
        <v>0</v>
      </c>
      <c r="G30" s="19"/>
      <c r="H30" s="132">
        <v>0</v>
      </c>
      <c r="I30" s="19"/>
      <c r="J30" s="132">
        <v>0</v>
      </c>
      <c r="K30" s="239"/>
      <c r="L30" s="131">
        <v>0</v>
      </c>
      <c r="M30" s="19"/>
      <c r="N30" s="132">
        <v>0</v>
      </c>
      <c r="O30" s="19"/>
      <c r="P30" s="132">
        <f t="shared" si="2"/>
        <v>0</v>
      </c>
      <c r="Q30" s="239"/>
      <c r="R30" s="133">
        <v>0</v>
      </c>
      <c r="U30" s="399"/>
      <c r="W30" s="59"/>
      <c r="X30" s="59"/>
      <c r="Y30" s="59"/>
      <c r="Z30" s="59"/>
      <c r="AA30" s="59"/>
      <c r="AB30" s="59"/>
      <c r="AC30" s="59"/>
      <c r="AD30" s="172"/>
      <c r="AE30" s="90"/>
      <c r="AF30" s="90"/>
      <c r="AG30" s="90"/>
      <c r="AH30" s="91"/>
      <c r="AJ30" s="59"/>
      <c r="AK30" s="59"/>
      <c r="AL30" s="59"/>
      <c r="AM30" s="96"/>
      <c r="AN30" s="94"/>
      <c r="AO30" s="94"/>
      <c r="AP30" s="90"/>
      <c r="AQ30" s="98">
        <f t="shared" ref="AQ30:AQ47" si="3">+AP30*AQ$26</f>
        <v>0</v>
      </c>
      <c r="AR30" s="90"/>
      <c r="AS30" s="98">
        <f t="shared" ref="AS30:AS47" si="4">AQ30+AR30</f>
        <v>0</v>
      </c>
      <c r="AT30" s="98">
        <f t="shared" ref="AT30:AT47" si="5">+AS30+AP30</f>
        <v>0</v>
      </c>
      <c r="AU30" s="59"/>
      <c r="AV30" s="59"/>
      <c r="AW30" s="59"/>
      <c r="AX30" s="59"/>
      <c r="AY30" s="59"/>
      <c r="AZ30" s="59"/>
      <c r="BA30" s="59"/>
    </row>
    <row r="31" spans="2:53" x14ac:dyDescent="0.25">
      <c r="B31" s="7" t="s">
        <v>50</v>
      </c>
      <c r="F31" s="122">
        <f>SUM(F21:F30)</f>
        <v>1015675</v>
      </c>
      <c r="G31" s="19"/>
      <c r="H31" s="19">
        <f>SUM(H21:H30)</f>
        <v>1280189</v>
      </c>
      <c r="I31" s="19"/>
      <c r="J31" s="123">
        <f>SUM(J22:J30)</f>
        <v>1335618</v>
      </c>
      <c r="K31" s="19"/>
      <c r="L31" s="122">
        <f>SUM(L21:L30)</f>
        <v>1397086</v>
      </c>
      <c r="M31" s="19"/>
      <c r="N31" s="19">
        <f>SUM(N21:N30)</f>
        <v>1397086</v>
      </c>
      <c r="O31" s="19"/>
      <c r="P31" s="19">
        <f>SUM(P21:P30)</f>
        <v>32236</v>
      </c>
      <c r="Q31" s="239"/>
      <c r="R31" s="123">
        <f>SUM(R21:R30)</f>
        <v>1429322</v>
      </c>
      <c r="U31" s="399"/>
      <c r="W31" s="59"/>
      <c r="X31" s="59"/>
      <c r="Y31" s="59"/>
      <c r="Z31" s="59"/>
      <c r="AA31" s="59"/>
      <c r="AB31" s="59"/>
      <c r="AC31" s="59"/>
      <c r="AD31" s="64"/>
      <c r="AE31" s="90"/>
      <c r="AF31" s="90"/>
      <c r="AG31" s="90"/>
      <c r="AH31" s="91"/>
      <c r="AJ31" s="59"/>
      <c r="AK31" s="59"/>
      <c r="AL31" s="59"/>
      <c r="AM31" s="96"/>
      <c r="AN31" s="94"/>
      <c r="AO31" s="94"/>
      <c r="AP31" s="90"/>
      <c r="AQ31" s="98">
        <f t="shared" si="3"/>
        <v>0</v>
      </c>
      <c r="AR31" s="90"/>
      <c r="AS31" s="98">
        <f t="shared" si="4"/>
        <v>0</v>
      </c>
      <c r="AT31" s="98">
        <f t="shared" si="5"/>
        <v>0</v>
      </c>
      <c r="AU31" s="59"/>
      <c r="AV31" s="59"/>
      <c r="AW31" s="59"/>
      <c r="AX31" s="59"/>
      <c r="AY31" s="59"/>
      <c r="AZ31" s="59"/>
      <c r="BA31" s="59"/>
    </row>
    <row r="32" spans="2:53" ht="14.1" customHeight="1" x14ac:dyDescent="0.25">
      <c r="F32" s="122"/>
      <c r="G32" s="19"/>
      <c r="H32" s="19"/>
      <c r="I32" s="19"/>
      <c r="J32" s="123"/>
      <c r="K32" s="19"/>
      <c r="L32" s="122"/>
      <c r="M32" s="19"/>
      <c r="N32" s="19"/>
      <c r="O32" s="19"/>
      <c r="P32" s="19"/>
      <c r="Q32" s="239"/>
      <c r="R32" s="123"/>
      <c r="U32" s="399"/>
      <c r="W32" s="59"/>
      <c r="X32" s="59"/>
      <c r="Y32" s="59"/>
      <c r="Z32" s="59"/>
      <c r="AA32" s="59"/>
      <c r="AB32" s="59"/>
      <c r="AC32" s="59"/>
      <c r="AD32" s="64"/>
      <c r="AE32" s="90"/>
      <c r="AF32" s="90"/>
      <c r="AG32" s="90"/>
      <c r="AH32" s="91"/>
      <c r="AJ32" s="59"/>
      <c r="AK32" s="59"/>
      <c r="AL32" s="59"/>
      <c r="AM32" s="96"/>
      <c r="AN32" s="94"/>
      <c r="AO32" s="94"/>
      <c r="AP32" s="90"/>
      <c r="AQ32" s="98">
        <f t="shared" si="3"/>
        <v>0</v>
      </c>
      <c r="AR32" s="90"/>
      <c r="AS32" s="98">
        <f t="shared" si="4"/>
        <v>0</v>
      </c>
      <c r="AT32" s="98">
        <f t="shared" si="5"/>
        <v>0</v>
      </c>
      <c r="AU32" s="59"/>
      <c r="AV32" s="59"/>
      <c r="AW32" s="59"/>
      <c r="AX32" s="59"/>
      <c r="AY32" s="59"/>
      <c r="AZ32" s="59"/>
      <c r="BA32" s="59"/>
    </row>
    <row r="33" spans="2:53" ht="15.75" thickBot="1" x14ac:dyDescent="0.3">
      <c r="D33" s="53" t="s">
        <v>193</v>
      </c>
      <c r="F33" s="134">
        <f>+F17-F31</f>
        <v>-104281</v>
      </c>
      <c r="G33" s="135"/>
      <c r="H33" s="135">
        <f>+H17-H31</f>
        <v>1622</v>
      </c>
      <c r="I33" s="135"/>
      <c r="J33" s="136">
        <f>+J17-J31</f>
        <v>-49428</v>
      </c>
      <c r="K33" s="135"/>
      <c r="L33" s="134">
        <f>+L17-L31</f>
        <v>0</v>
      </c>
      <c r="M33" s="135"/>
      <c r="N33" s="135">
        <f>+N17-N31</f>
        <v>35000</v>
      </c>
      <c r="O33" s="135"/>
      <c r="P33" s="135">
        <f>+P17-P31</f>
        <v>0</v>
      </c>
      <c r="Q33" s="243"/>
      <c r="R33" s="136">
        <f>+R17-R31</f>
        <v>0</v>
      </c>
      <c r="U33" s="399"/>
      <c r="W33" s="59"/>
      <c r="X33" s="59"/>
      <c r="Y33" s="59"/>
      <c r="Z33" s="59"/>
      <c r="AA33" s="59"/>
      <c r="AB33" s="59"/>
      <c r="AC33" s="59"/>
      <c r="AD33" s="64"/>
      <c r="AE33" s="90"/>
      <c r="AF33" s="90"/>
      <c r="AG33" s="90"/>
      <c r="AH33" s="91"/>
      <c r="AJ33" s="59"/>
      <c r="AK33" s="59"/>
      <c r="AL33" s="59"/>
      <c r="AM33" s="96"/>
      <c r="AN33" s="94"/>
      <c r="AO33" s="94"/>
      <c r="AP33" s="90"/>
      <c r="AQ33" s="98">
        <f t="shared" si="3"/>
        <v>0</v>
      </c>
      <c r="AR33" s="90"/>
      <c r="AS33" s="98">
        <f t="shared" si="4"/>
        <v>0</v>
      </c>
      <c r="AT33" s="98">
        <f t="shared" si="5"/>
        <v>0</v>
      </c>
      <c r="AU33" s="59"/>
      <c r="AV33" s="59"/>
      <c r="AW33" s="59"/>
      <c r="AX33" s="59"/>
      <c r="AY33" s="59"/>
      <c r="AZ33" s="59"/>
      <c r="BA33" s="59"/>
    </row>
    <row r="34" spans="2:53" ht="15.75" thickTop="1" x14ac:dyDescent="0.25">
      <c r="F34" s="122"/>
      <c r="G34" s="19"/>
      <c r="H34" s="19"/>
      <c r="I34" s="19"/>
      <c r="J34" s="123"/>
      <c r="K34" s="19"/>
      <c r="L34" s="122"/>
      <c r="M34" s="19"/>
      <c r="N34" s="19"/>
      <c r="O34" s="19"/>
      <c r="P34" s="19"/>
      <c r="Q34" s="239"/>
      <c r="R34" s="123"/>
      <c r="U34" s="399"/>
      <c r="W34" s="59"/>
      <c r="X34" s="59"/>
      <c r="Y34" s="59"/>
      <c r="Z34" s="59"/>
      <c r="AA34" s="59"/>
      <c r="AB34" s="59"/>
      <c r="AC34" s="59"/>
      <c r="AD34" s="175"/>
      <c r="AE34" s="181"/>
      <c r="AF34" s="181"/>
      <c r="AG34" s="181"/>
      <c r="AH34" s="181"/>
      <c r="AJ34" s="59"/>
      <c r="AK34" s="59"/>
      <c r="AL34" s="59"/>
      <c r="AM34" s="96"/>
      <c r="AN34" s="94"/>
      <c r="AO34" s="94"/>
      <c r="AP34" s="90"/>
      <c r="AQ34" s="98">
        <f t="shared" si="3"/>
        <v>0</v>
      </c>
      <c r="AR34" s="90"/>
      <c r="AS34" s="98">
        <f t="shared" si="4"/>
        <v>0</v>
      </c>
      <c r="AT34" s="98">
        <f t="shared" si="5"/>
        <v>0</v>
      </c>
      <c r="AU34" s="59"/>
      <c r="AV34" s="59"/>
      <c r="AW34" s="59"/>
      <c r="AX34" s="59"/>
      <c r="AY34" s="59"/>
      <c r="AZ34" s="59"/>
      <c r="BA34" s="59"/>
    </row>
    <row r="35" spans="2:53" x14ac:dyDescent="0.25">
      <c r="B35" s="7" t="s">
        <v>53</v>
      </c>
      <c r="F35" s="122"/>
      <c r="G35" s="19"/>
      <c r="H35" s="19"/>
      <c r="I35" s="19"/>
      <c r="J35" s="123"/>
      <c r="K35" s="19"/>
      <c r="L35" s="122"/>
      <c r="M35" s="19"/>
      <c r="N35" s="19"/>
      <c r="O35" s="19"/>
      <c r="P35" s="19"/>
      <c r="Q35" s="239"/>
      <c r="R35" s="123"/>
      <c r="U35" s="399"/>
      <c r="W35" s="59"/>
      <c r="X35" s="59"/>
      <c r="Y35" s="59"/>
      <c r="Z35" s="59"/>
      <c r="AA35" s="59"/>
      <c r="AB35" s="59"/>
      <c r="AC35" s="59"/>
      <c r="AD35" s="59"/>
      <c r="AE35" s="90"/>
      <c r="AF35" s="90"/>
      <c r="AG35" s="90"/>
      <c r="AH35" s="91"/>
      <c r="AJ35" s="59"/>
      <c r="AK35" s="59"/>
      <c r="AL35" s="59"/>
      <c r="AM35" s="96"/>
      <c r="AN35" s="94"/>
      <c r="AO35" s="94"/>
      <c r="AP35" s="90"/>
      <c r="AQ35" s="98">
        <f t="shared" si="3"/>
        <v>0</v>
      </c>
      <c r="AR35" s="90"/>
      <c r="AS35" s="98">
        <f t="shared" si="4"/>
        <v>0</v>
      </c>
      <c r="AT35" s="98">
        <f t="shared" si="5"/>
        <v>0</v>
      </c>
      <c r="AU35" s="59"/>
      <c r="AV35" s="59"/>
      <c r="AW35" s="59"/>
      <c r="AX35" s="59"/>
      <c r="AY35" s="59"/>
      <c r="AZ35" s="59"/>
      <c r="BA35" s="59"/>
    </row>
    <row r="36" spans="2:53" x14ac:dyDescent="0.25">
      <c r="C36" t="s">
        <v>263</v>
      </c>
      <c r="F36" s="122">
        <v>32146</v>
      </c>
      <c r="G36" s="19"/>
      <c r="H36" s="19">
        <v>32146</v>
      </c>
      <c r="I36" s="19"/>
      <c r="J36" s="123">
        <f>+J8</f>
        <v>29759</v>
      </c>
      <c r="K36" s="19"/>
      <c r="L36" s="122">
        <f>+L8</f>
        <v>0</v>
      </c>
      <c r="M36" s="19"/>
      <c r="N36" s="19">
        <f>+N8</f>
        <v>0</v>
      </c>
      <c r="O36" s="19"/>
      <c r="P36" s="19">
        <f t="shared" ref="P36:P37" si="6">R36-L36</f>
        <v>31567</v>
      </c>
      <c r="Q36" s="239"/>
      <c r="R36" s="123">
        <f>+R8</f>
        <v>31567</v>
      </c>
      <c r="U36" s="399"/>
      <c r="W36" s="59"/>
      <c r="X36" s="59"/>
      <c r="Y36" s="59"/>
      <c r="Z36" s="59"/>
      <c r="AA36" s="59"/>
      <c r="AB36" s="59"/>
      <c r="AC36" s="59"/>
      <c r="AD36" s="59"/>
      <c r="AE36" s="90"/>
      <c r="AF36" s="90"/>
      <c r="AG36" s="90"/>
      <c r="AH36" s="91"/>
      <c r="AJ36" s="59"/>
      <c r="AK36" s="59"/>
      <c r="AL36" s="59"/>
      <c r="AM36" s="96"/>
      <c r="AN36" s="94"/>
      <c r="AO36" s="94"/>
      <c r="AP36" s="90"/>
      <c r="AQ36" s="98">
        <f t="shared" si="3"/>
        <v>0</v>
      </c>
      <c r="AR36" s="90"/>
      <c r="AS36" s="98">
        <f t="shared" si="4"/>
        <v>0</v>
      </c>
      <c r="AT36" s="98">
        <f t="shared" si="5"/>
        <v>0</v>
      </c>
      <c r="AU36" s="59"/>
      <c r="AV36" s="59"/>
      <c r="AW36" s="59"/>
      <c r="AX36" s="59"/>
      <c r="AY36" s="59"/>
      <c r="AZ36" s="59"/>
      <c r="BA36" s="59"/>
    </row>
    <row r="37" spans="2:53" ht="15.75" thickBot="1" x14ac:dyDescent="0.3">
      <c r="C37" t="s">
        <v>264</v>
      </c>
      <c r="F37" s="131">
        <f>+F10+F17-F31-F36</f>
        <v>346236</v>
      </c>
      <c r="G37" s="132"/>
      <c r="H37" s="132">
        <f>+H10+H17-H31-H36</f>
        <v>347858</v>
      </c>
      <c r="I37" s="132"/>
      <c r="J37" s="133">
        <f>+J10+J17-J31-J36</f>
        <v>300817</v>
      </c>
      <c r="K37" s="19"/>
      <c r="L37" s="131">
        <f>+L10+L17-L31-L36</f>
        <v>277663</v>
      </c>
      <c r="M37" s="19"/>
      <c r="N37" s="19">
        <f>+N10+N17-N31-N36</f>
        <v>365576</v>
      </c>
      <c r="O37" s="19"/>
      <c r="P37" s="19">
        <f t="shared" si="6"/>
        <v>21346</v>
      </c>
      <c r="Q37" s="239"/>
      <c r="R37" s="133">
        <f>R10+R17-R31-R36</f>
        <v>299009</v>
      </c>
      <c r="U37" s="399"/>
      <c r="W37" s="186" t="s">
        <v>301</v>
      </c>
      <c r="X37" s="186"/>
      <c r="Y37" s="186"/>
      <c r="Z37" s="177"/>
      <c r="AG37" s="90"/>
      <c r="AH37" s="91"/>
      <c r="AJ37" s="59"/>
      <c r="AK37" s="59"/>
      <c r="AL37" s="59"/>
      <c r="AM37" s="96"/>
      <c r="AN37" s="94"/>
      <c r="AO37" s="94"/>
      <c r="AP37" s="90"/>
      <c r="AQ37" s="98">
        <f t="shared" si="3"/>
        <v>0</v>
      </c>
      <c r="AR37" s="90"/>
      <c r="AS37" s="98">
        <f t="shared" si="4"/>
        <v>0</v>
      </c>
      <c r="AT37" s="98">
        <f t="shared" si="5"/>
        <v>0</v>
      </c>
      <c r="AU37" s="59"/>
      <c r="AV37" s="59"/>
      <c r="AW37" s="59"/>
      <c r="AX37" s="59"/>
      <c r="AY37" s="59"/>
      <c r="AZ37" s="59"/>
      <c r="BA37" s="59"/>
    </row>
    <row r="38" spans="2:53" ht="15.75" thickBot="1" x14ac:dyDescent="0.3">
      <c r="D38" s="53" t="s">
        <v>55</v>
      </c>
      <c r="F38" s="144">
        <f>F10+F33</f>
        <v>378382</v>
      </c>
      <c r="G38" s="145"/>
      <c r="H38" s="145">
        <f>H10+H33</f>
        <v>380004</v>
      </c>
      <c r="I38" s="145"/>
      <c r="J38" s="139">
        <f>+J37+J36</f>
        <v>330576</v>
      </c>
      <c r="K38" s="19"/>
      <c r="L38" s="137">
        <f>SUM(L35:L37)</f>
        <v>277663</v>
      </c>
      <c r="M38" s="138"/>
      <c r="N38" s="145">
        <f>SUM(N35:N37)</f>
        <v>365576</v>
      </c>
      <c r="O38" s="138"/>
      <c r="P38" s="145">
        <f>SUM(P35:P37)</f>
        <v>52913</v>
      </c>
      <c r="Q38" s="239"/>
      <c r="R38" s="140">
        <f>SUM(R35:R37)</f>
        <v>330576</v>
      </c>
      <c r="U38" s="399"/>
      <c r="W38" s="112" t="s">
        <v>333</v>
      </c>
      <c r="X38" s="112" t="s">
        <v>292</v>
      </c>
      <c r="Y38" s="112" t="s">
        <v>277</v>
      </c>
      <c r="Z38" s="112" t="s">
        <v>356</v>
      </c>
      <c r="AA38" s="112" t="s">
        <v>127</v>
      </c>
      <c r="AB38" s="112" t="s">
        <v>276</v>
      </c>
      <c r="AC38" s="112" t="s">
        <v>278</v>
      </c>
      <c r="AD38" s="183" t="s">
        <v>357</v>
      </c>
      <c r="AE38" s="402" t="s">
        <v>303</v>
      </c>
      <c r="AF38" s="403"/>
      <c r="AG38" s="403"/>
      <c r="AH38" s="403"/>
      <c r="AJ38" s="59"/>
      <c r="AK38" s="59"/>
      <c r="AL38" s="59"/>
      <c r="AM38" s="96"/>
      <c r="AN38" s="94"/>
      <c r="AO38" s="94"/>
      <c r="AP38" s="90"/>
      <c r="AQ38" s="98">
        <f t="shared" si="3"/>
        <v>0</v>
      </c>
      <c r="AR38" s="90"/>
      <c r="AS38" s="98">
        <f t="shared" si="4"/>
        <v>0</v>
      </c>
      <c r="AT38" s="98">
        <f t="shared" si="5"/>
        <v>0</v>
      </c>
      <c r="AU38" s="59"/>
      <c r="AV38" s="59"/>
      <c r="AW38" s="59"/>
      <c r="AX38" s="59"/>
      <c r="AY38" s="59"/>
      <c r="AZ38" s="59"/>
      <c r="BA38" s="59"/>
    </row>
    <row r="39" spans="2:53" ht="15.75" thickBot="1" x14ac:dyDescent="0.3">
      <c r="F39" s="105"/>
      <c r="G39" s="105"/>
      <c r="H39" s="105"/>
      <c r="I39" s="105"/>
      <c r="J39" s="53"/>
      <c r="K39" s="105"/>
      <c r="L39" s="105"/>
      <c r="M39" s="105"/>
      <c r="N39" s="105"/>
      <c r="O39" s="105"/>
      <c r="P39" s="105"/>
      <c r="Q39" s="105"/>
      <c r="R39" s="105"/>
      <c r="U39" s="399"/>
      <c r="W39" s="59"/>
      <c r="X39" s="59"/>
      <c r="Y39" s="59"/>
      <c r="Z39" s="59"/>
      <c r="AA39" s="59"/>
      <c r="AB39" s="59"/>
      <c r="AC39" s="59"/>
      <c r="AD39" s="59"/>
      <c r="AE39" s="90"/>
      <c r="AF39" s="90"/>
      <c r="AG39" s="90"/>
      <c r="AH39" s="91"/>
      <c r="AJ39" s="59"/>
      <c r="AK39" s="59"/>
      <c r="AL39" s="59"/>
      <c r="AM39" s="96"/>
      <c r="AN39" s="94"/>
      <c r="AO39" s="94"/>
      <c r="AP39" s="90"/>
      <c r="AQ39" s="98">
        <f t="shared" si="3"/>
        <v>0</v>
      </c>
      <c r="AR39" s="90"/>
      <c r="AS39" s="98">
        <f t="shared" si="4"/>
        <v>0</v>
      </c>
      <c r="AT39" s="98">
        <f t="shared" si="5"/>
        <v>0</v>
      </c>
      <c r="AU39" s="59"/>
      <c r="AV39" s="59"/>
      <c r="AW39" s="59"/>
      <c r="AX39" s="59"/>
      <c r="AY39" s="59"/>
      <c r="AZ39" s="59"/>
      <c r="BA39" s="59"/>
    </row>
    <row r="40" spans="2:53" ht="15.75" thickBot="1" x14ac:dyDescent="0.3">
      <c r="F40" s="105"/>
      <c r="G40" s="105"/>
      <c r="H40" s="105"/>
      <c r="I40" s="105"/>
      <c r="J40" s="53" t="s">
        <v>268</v>
      </c>
      <c r="K40" s="105"/>
      <c r="L40" s="143">
        <f>+L38+L31</f>
        <v>1674749</v>
      </c>
      <c r="M40" s="88"/>
      <c r="N40" s="88"/>
      <c r="O40" s="88"/>
      <c r="P40" s="88"/>
      <c r="Q40" s="105"/>
      <c r="R40" s="143">
        <f>+R38+R31</f>
        <v>1759898</v>
      </c>
      <c r="U40" s="399"/>
      <c r="W40" s="59"/>
      <c r="X40" s="59"/>
      <c r="Y40" s="59"/>
      <c r="Z40" s="59"/>
      <c r="AA40" s="59"/>
      <c r="AB40" s="59"/>
      <c r="AC40" s="59"/>
      <c r="AD40" s="59"/>
      <c r="AE40" s="90"/>
      <c r="AF40" s="90"/>
      <c r="AG40" s="90"/>
      <c r="AH40" s="91"/>
      <c r="AJ40" s="59"/>
      <c r="AK40" s="59"/>
      <c r="AL40" s="59"/>
      <c r="AM40" s="96"/>
      <c r="AN40" s="94"/>
      <c r="AO40" s="94"/>
      <c r="AP40" s="90"/>
      <c r="AQ40" s="98">
        <f t="shared" si="3"/>
        <v>0</v>
      </c>
      <c r="AR40" s="90"/>
      <c r="AS40" s="98">
        <f t="shared" si="4"/>
        <v>0</v>
      </c>
      <c r="AT40" s="98">
        <f t="shared" si="5"/>
        <v>0</v>
      </c>
      <c r="AU40" s="59"/>
      <c r="AV40" s="59"/>
      <c r="AW40" s="59"/>
      <c r="AX40" s="59"/>
      <c r="AY40" s="59"/>
      <c r="AZ40" s="59"/>
      <c r="BA40" s="59"/>
    </row>
    <row r="41" spans="2:53" x14ac:dyDescent="0.25">
      <c r="AJ41" s="59"/>
      <c r="AK41" s="59"/>
      <c r="AL41" s="59"/>
      <c r="AM41" s="96"/>
      <c r="AN41" s="94"/>
      <c r="AO41" s="94"/>
      <c r="AP41" s="90"/>
      <c r="AQ41" s="98">
        <f t="shared" si="3"/>
        <v>0</v>
      </c>
      <c r="AR41" s="90"/>
      <c r="AS41" s="98">
        <f t="shared" si="4"/>
        <v>0</v>
      </c>
      <c r="AT41" s="98">
        <f t="shared" si="5"/>
        <v>0</v>
      </c>
      <c r="AU41" s="59"/>
      <c r="AV41" s="59"/>
      <c r="AW41" s="59"/>
      <c r="AX41" s="59"/>
      <c r="AY41" s="59"/>
      <c r="AZ41" s="59"/>
      <c r="BA41" s="59"/>
    </row>
    <row r="42" spans="2:53" x14ac:dyDescent="0.25">
      <c r="AJ42" s="59"/>
      <c r="AK42" s="59"/>
      <c r="AL42" s="59"/>
      <c r="AM42" s="96"/>
      <c r="AN42" s="94"/>
      <c r="AO42" s="94"/>
      <c r="AP42" s="90"/>
      <c r="AQ42" s="98">
        <f t="shared" si="3"/>
        <v>0</v>
      </c>
      <c r="AR42" s="90"/>
      <c r="AS42" s="98">
        <f t="shared" si="4"/>
        <v>0</v>
      </c>
      <c r="AT42" s="98">
        <f t="shared" si="5"/>
        <v>0</v>
      </c>
      <c r="AU42" s="59"/>
      <c r="AV42" s="59"/>
      <c r="AW42" s="59"/>
      <c r="AX42" s="59"/>
      <c r="AY42" s="59"/>
      <c r="AZ42" s="59"/>
      <c r="BA42" s="59"/>
    </row>
    <row r="43" spans="2:53" x14ac:dyDescent="0.25">
      <c r="AJ43" s="59"/>
      <c r="AK43" s="59"/>
      <c r="AL43" s="59"/>
      <c r="AM43" s="96"/>
      <c r="AN43" s="94"/>
      <c r="AO43" s="94"/>
      <c r="AP43" s="90"/>
      <c r="AQ43" s="98">
        <f t="shared" si="3"/>
        <v>0</v>
      </c>
      <c r="AR43" s="90"/>
      <c r="AS43" s="98">
        <f t="shared" si="4"/>
        <v>0</v>
      </c>
      <c r="AT43" s="98">
        <f t="shared" si="5"/>
        <v>0</v>
      </c>
      <c r="AU43" s="59"/>
      <c r="AV43" s="59"/>
      <c r="AW43" s="59"/>
      <c r="AX43" s="59"/>
      <c r="AY43" s="59"/>
      <c r="AZ43" s="59"/>
      <c r="BA43" s="59"/>
    </row>
    <row r="44" spans="2:53" x14ac:dyDescent="0.25">
      <c r="AJ44" s="59"/>
      <c r="AK44" s="59"/>
      <c r="AL44" s="59"/>
      <c r="AM44" s="96"/>
      <c r="AN44" s="94"/>
      <c r="AO44" s="94"/>
      <c r="AP44" s="90"/>
      <c r="AQ44" s="98">
        <f t="shared" si="3"/>
        <v>0</v>
      </c>
      <c r="AR44" s="90"/>
      <c r="AS44" s="98">
        <f t="shared" si="4"/>
        <v>0</v>
      </c>
      <c r="AT44" s="98">
        <f t="shared" si="5"/>
        <v>0</v>
      </c>
      <c r="AU44" s="59"/>
      <c r="AV44" s="59"/>
      <c r="AW44" s="59"/>
      <c r="AX44" s="59"/>
      <c r="AY44" s="59"/>
      <c r="AZ44" s="59"/>
      <c r="BA44" s="59"/>
    </row>
    <row r="45" spans="2:53" x14ac:dyDescent="0.25">
      <c r="AL45" s="59"/>
      <c r="AM45" s="96"/>
      <c r="AN45" s="94"/>
      <c r="AO45" s="94"/>
      <c r="AP45" s="90"/>
      <c r="AQ45" s="98">
        <f t="shared" si="3"/>
        <v>0</v>
      </c>
      <c r="AR45" s="90"/>
      <c r="AS45" s="98">
        <f t="shared" si="4"/>
        <v>0</v>
      </c>
      <c r="AT45" s="98">
        <f t="shared" si="5"/>
        <v>0</v>
      </c>
    </row>
    <row r="46" spans="2:53" x14ac:dyDescent="0.25">
      <c r="AL46" s="59"/>
      <c r="AM46" s="96"/>
      <c r="AN46" s="94"/>
      <c r="AO46" s="94"/>
      <c r="AP46" s="90"/>
      <c r="AQ46" s="98">
        <f t="shared" si="3"/>
        <v>0</v>
      </c>
      <c r="AR46" s="90"/>
      <c r="AS46" s="98">
        <f t="shared" si="4"/>
        <v>0</v>
      </c>
      <c r="AT46" s="98">
        <f t="shared" si="5"/>
        <v>0</v>
      </c>
    </row>
    <row r="47" spans="2:53" x14ac:dyDescent="0.25">
      <c r="AL47" s="59"/>
      <c r="AM47" s="96"/>
      <c r="AN47" s="94"/>
      <c r="AO47" s="94"/>
      <c r="AP47" s="90"/>
      <c r="AQ47" s="98">
        <f t="shared" si="3"/>
        <v>0</v>
      </c>
      <c r="AR47" s="90"/>
      <c r="AS47" s="98">
        <f t="shared" si="4"/>
        <v>0</v>
      </c>
      <c r="AT47" s="98">
        <f t="shared" si="5"/>
        <v>0</v>
      </c>
    </row>
    <row r="48" spans="2:53" x14ac:dyDescent="0.25">
      <c r="AL48" s="7" t="s">
        <v>239</v>
      </c>
      <c r="AM48" s="113">
        <f>SUM(AM29:AM47)</f>
        <v>0</v>
      </c>
      <c r="AN48" s="114"/>
      <c r="AO48" s="114"/>
      <c r="AP48" s="115">
        <f>SUM(AP29:AP47)</f>
        <v>0</v>
      </c>
      <c r="AQ48" s="115">
        <f>SUM(AQ29:AQ47)</f>
        <v>0</v>
      </c>
      <c r="AR48" s="115">
        <f>SUM(AR29:AR47)</f>
        <v>0</v>
      </c>
      <c r="AS48" s="115">
        <f>SUM(AS29:AS47)</f>
        <v>0</v>
      </c>
      <c r="AT48" s="115">
        <f>SUM(AT29:AT47)</f>
        <v>0</v>
      </c>
    </row>
  </sheetData>
  <mergeCells count="6">
    <mergeCell ref="W25:AC25"/>
    <mergeCell ref="AU25:BA25"/>
    <mergeCell ref="W26:AC26"/>
    <mergeCell ref="AU26:BA26"/>
    <mergeCell ref="U1:U40"/>
    <mergeCell ref="AE38:AH38"/>
  </mergeCells>
  <pageMargins left="0.27" right="0.25" top="0.43" bottom="0.4" header="0.3" footer="0.17"/>
  <pageSetup scale="73" orientation="portrait" r:id="rId1"/>
  <headerFooter>
    <oddFooter>&amp;L&amp;D &amp;F&amp;C23&amp;R&amp;A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0">
    <pageSetUpPr fitToPage="1"/>
  </sheetPr>
  <dimension ref="A1:BA62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6.8554687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140625" customWidth="1"/>
    <col min="20" max="20" width="41.85546875" hidden="1" customWidth="1"/>
    <col min="21" max="21" width="0" style="92" hidden="1" customWidth="1"/>
    <col min="22" max="22" width="13.140625" hidden="1" customWidth="1"/>
    <col min="23" max="23" width="12.42578125" hidden="1" customWidth="1"/>
    <col min="24" max="29" width="0" hidden="1" customWidth="1"/>
    <col min="30" max="30" width="24.42578125" hidden="1" customWidth="1"/>
    <col min="31" max="31" width="18" hidden="1" customWidth="1"/>
    <col min="32" max="32" width="19.42578125" hidden="1" customWidth="1"/>
    <col min="33" max="33" width="17.42578125" hidden="1" customWidth="1"/>
    <col min="34" max="34" width="16.140625" hidden="1" customWidth="1"/>
    <col min="35" max="36" width="0" hidden="1" customWidth="1"/>
    <col min="37" max="37" width="13.85546875" hidden="1" customWidth="1"/>
    <col min="38" max="42" width="0" hidden="1" customWidth="1"/>
    <col min="43" max="43" width="12.42578125" hidden="1" customWidth="1"/>
    <col min="44" max="44" width="10" hidden="1" customWidth="1"/>
    <col min="45" max="45" width="20.42578125" hidden="1" customWidth="1"/>
    <col min="46" max="46" width="18.140625" hidden="1" customWidth="1"/>
    <col min="47" max="52" width="0" hidden="1" customWidth="1"/>
    <col min="53" max="53" width="12.85546875" hidden="1" customWidth="1"/>
    <col min="54" max="54" width="0" hidden="1" customWidth="1"/>
  </cols>
  <sheetData>
    <row r="1" spans="1:34" ht="14.45" customHeight="1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95"/>
      <c r="W1" s="7" t="s">
        <v>377</v>
      </c>
    </row>
    <row r="2" spans="1:34" ht="16.5" thickBot="1" x14ac:dyDescent="0.3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195"/>
      <c r="V2" s="18">
        <f>R12</f>
        <v>50000</v>
      </c>
      <c r="W2" s="198" t="s">
        <v>287</v>
      </c>
      <c r="X2" s="198"/>
      <c r="Y2" s="198"/>
      <c r="Z2" s="198"/>
      <c r="AA2" s="198"/>
      <c r="AB2" s="198"/>
      <c r="AC2" s="198"/>
    </row>
    <row r="3" spans="1:34" ht="16.5" thickBot="1" x14ac:dyDescent="0.3">
      <c r="A3" s="4" t="s">
        <v>257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195"/>
      <c r="W3" s="197"/>
      <c r="X3" s="197"/>
      <c r="Y3" s="197"/>
      <c r="Z3" s="197"/>
      <c r="AA3" s="197"/>
      <c r="AB3" s="197"/>
      <c r="AC3" s="197"/>
      <c r="AE3" s="70" t="e">
        <f>+#REF!</f>
        <v>#REF!</v>
      </c>
      <c r="AF3" s="70" t="e">
        <f>+#REF!</f>
        <v>#REF!</v>
      </c>
      <c r="AG3" s="70" t="e">
        <f>+#REF!</f>
        <v>#REF!</v>
      </c>
      <c r="AH3" s="70" t="e">
        <f>+#REF!</f>
        <v>#REF!</v>
      </c>
    </row>
    <row r="4" spans="1:34" ht="15.7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95"/>
      <c r="V4" s="187" t="s">
        <v>233</v>
      </c>
      <c r="W4" s="188" t="s">
        <v>231</v>
      </c>
      <c r="X4" s="188" t="s">
        <v>231</v>
      </c>
      <c r="Y4" s="188" t="s">
        <v>231</v>
      </c>
      <c r="Z4" s="188" t="s">
        <v>231</v>
      </c>
      <c r="AA4" s="188" t="s">
        <v>231</v>
      </c>
      <c r="AB4" s="188" t="s">
        <v>231</v>
      </c>
      <c r="AC4" s="188" t="s">
        <v>231</v>
      </c>
      <c r="AD4" s="187" t="s">
        <v>233</v>
      </c>
      <c r="AE4" s="188" t="s">
        <v>232</v>
      </c>
      <c r="AF4" s="188" t="s">
        <v>232</v>
      </c>
      <c r="AG4" s="188" t="s">
        <v>232</v>
      </c>
      <c r="AH4" s="188" t="s">
        <v>232</v>
      </c>
    </row>
    <row r="5" spans="1:34" ht="15.7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0" t="str">
        <f>'GF Summary 10'!P6</f>
        <v>FY25 Budget v</v>
      </c>
      <c r="Q5" s="244"/>
      <c r="R5" s="221" t="str">
        <f>'GF Summary 10'!R6</f>
        <v>Adopted Budget</v>
      </c>
      <c r="S5" s="5"/>
      <c r="U5" s="195"/>
      <c r="W5" s="59" t="s">
        <v>358</v>
      </c>
      <c r="X5" s="59" t="s">
        <v>276</v>
      </c>
      <c r="Y5" s="59" t="s">
        <v>277</v>
      </c>
      <c r="Z5" s="59" t="s">
        <v>278</v>
      </c>
      <c r="AA5" s="59" t="s">
        <v>281</v>
      </c>
      <c r="AB5" s="59" t="s">
        <v>276</v>
      </c>
      <c r="AC5" s="177"/>
      <c r="AD5" s="173" t="s">
        <v>359</v>
      </c>
      <c r="AE5" s="91"/>
      <c r="AF5" s="91"/>
      <c r="AG5" s="91"/>
      <c r="AH5" s="91"/>
    </row>
    <row r="6" spans="1:34" ht="15.75" thickBot="1" x14ac:dyDescent="0.3">
      <c r="F6" s="223" t="str">
        <f>'GF Summary 10'!$F$7</f>
        <v>FY 22-23</v>
      </c>
      <c r="G6" s="225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'GF Summary 10'!P7</f>
        <v>FY 26 Budget</v>
      </c>
      <c r="Q6" s="244"/>
      <c r="R6" s="226" t="str">
        <f>'GF Summary 10'!R7</f>
        <v>FY 26-27</v>
      </c>
      <c r="S6" s="5"/>
      <c r="U6" s="195"/>
      <c r="W6" s="59" t="s">
        <v>358</v>
      </c>
      <c r="X6" s="59" t="s">
        <v>276</v>
      </c>
      <c r="Y6" s="59" t="s">
        <v>277</v>
      </c>
      <c r="Z6" s="59" t="s">
        <v>278</v>
      </c>
      <c r="AA6" s="59" t="s">
        <v>281</v>
      </c>
      <c r="AB6" s="59" t="s">
        <v>276</v>
      </c>
      <c r="AC6" s="177"/>
      <c r="AD6" s="173" t="s">
        <v>359</v>
      </c>
      <c r="AE6" s="91"/>
      <c r="AF6" s="91"/>
      <c r="AG6" s="91"/>
      <c r="AH6" s="91"/>
    </row>
    <row r="7" spans="1:34" ht="15.75" thickBot="1" x14ac:dyDescent="0.3">
      <c r="B7" s="7" t="s">
        <v>29</v>
      </c>
      <c r="F7" s="371"/>
      <c r="G7" s="128"/>
      <c r="H7" s="217"/>
      <c r="I7" s="128"/>
      <c r="J7" s="372"/>
      <c r="K7" s="19"/>
      <c r="L7" s="371"/>
      <c r="M7" s="128"/>
      <c r="N7" s="217"/>
      <c r="O7" s="128"/>
      <c r="P7" s="128"/>
      <c r="Q7" s="239"/>
      <c r="R7" s="372"/>
      <c r="S7" s="5"/>
      <c r="U7" s="195"/>
      <c r="W7" s="59" t="s">
        <v>358</v>
      </c>
      <c r="X7" s="59" t="s">
        <v>276</v>
      </c>
      <c r="Y7" s="59" t="s">
        <v>277</v>
      </c>
      <c r="Z7" s="59" t="s">
        <v>278</v>
      </c>
      <c r="AA7" s="59" t="s">
        <v>281</v>
      </c>
      <c r="AB7" s="59" t="s">
        <v>276</v>
      </c>
      <c r="AC7" s="177"/>
      <c r="AD7" s="173" t="s">
        <v>359</v>
      </c>
      <c r="AE7" s="91"/>
      <c r="AF7" s="91"/>
      <c r="AG7" s="91"/>
      <c r="AH7" s="91"/>
    </row>
    <row r="8" spans="1:34" ht="15.75" thickBot="1" x14ac:dyDescent="0.3">
      <c r="C8" t="s">
        <v>30</v>
      </c>
      <c r="F8" s="131">
        <v>0</v>
      </c>
      <c r="G8" s="19"/>
      <c r="H8" s="132">
        <v>0</v>
      </c>
      <c r="I8" s="19"/>
      <c r="J8" s="133">
        <v>0</v>
      </c>
      <c r="K8" s="19"/>
      <c r="L8" s="131">
        <v>0</v>
      </c>
      <c r="M8" s="19"/>
      <c r="N8" s="132">
        <v>0</v>
      </c>
      <c r="O8" s="19"/>
      <c r="P8" s="132">
        <v>0</v>
      </c>
      <c r="Q8" s="239"/>
      <c r="R8" s="133">
        <v>0</v>
      </c>
      <c r="S8" s="5"/>
      <c r="U8" s="195"/>
      <c r="W8" s="59" t="s">
        <v>358</v>
      </c>
      <c r="X8" s="59" t="s">
        <v>276</v>
      </c>
      <c r="Y8" s="59" t="s">
        <v>277</v>
      </c>
      <c r="Z8" s="59" t="s">
        <v>278</v>
      </c>
      <c r="AA8" s="59" t="s">
        <v>281</v>
      </c>
      <c r="AB8" s="59" t="s">
        <v>276</v>
      </c>
      <c r="AC8" s="177"/>
      <c r="AD8" s="173" t="s">
        <v>359</v>
      </c>
      <c r="AE8" s="91"/>
      <c r="AF8" s="91"/>
      <c r="AG8" s="91"/>
      <c r="AH8" s="91"/>
    </row>
    <row r="9" spans="1:34" x14ac:dyDescent="0.25">
      <c r="B9" s="7" t="s">
        <v>31</v>
      </c>
      <c r="F9" s="122">
        <f>SUM(F8:F8)</f>
        <v>0</v>
      </c>
      <c r="G9" s="128"/>
      <c r="H9" s="19">
        <f>SUM(H8:H8)</f>
        <v>0</v>
      </c>
      <c r="I9" s="128"/>
      <c r="J9" s="123">
        <f>SUM(J8:J8)</f>
        <v>0</v>
      </c>
      <c r="K9" s="19"/>
      <c r="L9" s="122">
        <f>SUM(L8:L8)</f>
        <v>0</v>
      </c>
      <c r="M9" s="128"/>
      <c r="N9" s="19">
        <f>SUM(N8:N8)</f>
        <v>0</v>
      </c>
      <c r="O9" s="128"/>
      <c r="P9" s="19">
        <f>SUM(P8:P8)</f>
        <v>0</v>
      </c>
      <c r="Q9" s="239"/>
      <c r="R9" s="123">
        <f>SUM(R8:R8)</f>
        <v>0</v>
      </c>
      <c r="S9" s="5"/>
      <c r="U9" s="195"/>
      <c r="W9" s="59" t="s">
        <v>358</v>
      </c>
      <c r="X9" s="59" t="s">
        <v>276</v>
      </c>
      <c r="Y9" s="59" t="s">
        <v>277</v>
      </c>
      <c r="Z9" s="59" t="s">
        <v>278</v>
      </c>
      <c r="AA9" s="59" t="s">
        <v>280</v>
      </c>
      <c r="AB9" s="59" t="s">
        <v>276</v>
      </c>
      <c r="AC9" s="5">
        <v>4010</v>
      </c>
      <c r="AD9" t="s">
        <v>72</v>
      </c>
      <c r="AE9" s="91"/>
      <c r="AF9" s="91"/>
      <c r="AG9" s="91"/>
      <c r="AH9" s="91"/>
    </row>
    <row r="10" spans="1:34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195"/>
      <c r="W10" s="59" t="s">
        <v>358</v>
      </c>
      <c r="X10" s="59" t="s">
        <v>276</v>
      </c>
      <c r="Y10" s="59" t="s">
        <v>277</v>
      </c>
      <c r="Z10" s="59" t="s">
        <v>278</v>
      </c>
      <c r="AA10" s="59" t="s">
        <v>280</v>
      </c>
      <c r="AB10" s="59" t="s">
        <v>276</v>
      </c>
      <c r="AC10" s="5">
        <v>4367</v>
      </c>
      <c r="AD10" t="s">
        <v>74</v>
      </c>
      <c r="AE10" s="91"/>
      <c r="AF10" s="91"/>
      <c r="AG10" s="91"/>
      <c r="AH10" s="91"/>
    </row>
    <row r="11" spans="1:34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195"/>
      <c r="W11" s="59" t="s">
        <v>358</v>
      </c>
      <c r="X11" s="59" t="s">
        <v>276</v>
      </c>
      <c r="Y11" s="59" t="s">
        <v>277</v>
      </c>
      <c r="Z11" s="59" t="s">
        <v>278</v>
      </c>
      <c r="AA11" s="59" t="s">
        <v>280</v>
      </c>
      <c r="AB11" s="59" t="s">
        <v>276</v>
      </c>
      <c r="AC11" s="5">
        <v>4365</v>
      </c>
      <c r="AD11" t="s">
        <v>75</v>
      </c>
      <c r="AE11" s="91"/>
      <c r="AF11" s="91"/>
      <c r="AG11" s="91"/>
      <c r="AH11" s="91"/>
    </row>
    <row r="12" spans="1:34" x14ac:dyDescent="0.25">
      <c r="B12" s="7" t="s">
        <v>246</v>
      </c>
      <c r="C12" t="s">
        <v>33</v>
      </c>
      <c r="F12" s="122">
        <v>63975.31</v>
      </c>
      <c r="G12" s="19"/>
      <c r="H12" s="19">
        <v>123803</v>
      </c>
      <c r="I12" s="19"/>
      <c r="J12" s="123">
        <v>89674</v>
      </c>
      <c r="K12" s="19"/>
      <c r="L12" s="122">
        <v>0</v>
      </c>
      <c r="M12" s="19"/>
      <c r="N12" s="19">
        <v>0</v>
      </c>
      <c r="O12" s="19"/>
      <c r="P12" s="19">
        <f t="shared" ref="P12:P30" si="0">R12-L12</f>
        <v>50000</v>
      </c>
      <c r="Q12" s="239"/>
      <c r="R12" s="123">
        <v>50000</v>
      </c>
      <c r="T12" s="100" t="s">
        <v>323</v>
      </c>
      <c r="U12" s="195"/>
      <c r="W12" s="59" t="s">
        <v>358</v>
      </c>
      <c r="X12" s="59" t="s">
        <v>276</v>
      </c>
      <c r="Y12" s="59" t="s">
        <v>277</v>
      </c>
      <c r="Z12" s="59" t="s">
        <v>278</v>
      </c>
      <c r="AA12" s="59" t="s">
        <v>280</v>
      </c>
      <c r="AB12" s="59" t="s">
        <v>276</v>
      </c>
      <c r="AC12" s="5">
        <v>4424</v>
      </c>
      <c r="AD12" t="s">
        <v>77</v>
      </c>
      <c r="AE12" s="91"/>
      <c r="AF12" s="91"/>
      <c r="AG12" s="91"/>
      <c r="AH12" s="91"/>
    </row>
    <row r="13" spans="1:34" x14ac:dyDescent="0.25">
      <c r="B13" s="7" t="s">
        <v>247</v>
      </c>
      <c r="C13" t="s">
        <v>35</v>
      </c>
      <c r="F13" s="122">
        <v>24722.400000000001</v>
      </c>
      <c r="G13" s="19"/>
      <c r="H13" s="19">
        <v>24109</v>
      </c>
      <c r="I13" s="19"/>
      <c r="J13" s="123">
        <v>5000</v>
      </c>
      <c r="K13" s="19"/>
      <c r="L13" s="122">
        <v>5000</v>
      </c>
      <c r="M13" s="19"/>
      <c r="N13" s="19">
        <v>5000</v>
      </c>
      <c r="O13" s="19"/>
      <c r="P13" s="19">
        <f t="shared" si="0"/>
        <v>0</v>
      </c>
      <c r="Q13" s="239"/>
      <c r="R13" s="123">
        <v>5000</v>
      </c>
      <c r="T13" s="100" t="s">
        <v>322</v>
      </c>
      <c r="U13" s="195"/>
      <c r="W13" s="59" t="s">
        <v>358</v>
      </c>
      <c r="X13" s="59" t="s">
        <v>276</v>
      </c>
      <c r="Y13" s="59" t="s">
        <v>277</v>
      </c>
      <c r="Z13" s="59" t="s">
        <v>278</v>
      </c>
      <c r="AA13" s="59" t="s">
        <v>280</v>
      </c>
      <c r="AB13" s="59" t="s">
        <v>276</v>
      </c>
      <c r="AC13" s="5">
        <v>4048</v>
      </c>
      <c r="AD13" t="s">
        <v>76</v>
      </c>
      <c r="AE13" s="91"/>
      <c r="AF13" s="91"/>
      <c r="AG13" s="91"/>
      <c r="AH13" s="91"/>
    </row>
    <row r="14" spans="1:34" x14ac:dyDescent="0.25">
      <c r="F14" s="122"/>
      <c r="G14" s="19"/>
      <c r="H14" s="19"/>
      <c r="I14" s="19"/>
      <c r="J14" s="123"/>
      <c r="K14" s="19"/>
      <c r="L14" s="122"/>
      <c r="M14" s="19"/>
      <c r="N14" s="19"/>
      <c r="O14" s="19"/>
      <c r="P14" s="19">
        <f t="shared" ref="P14:P23" si="1">R14-L14</f>
        <v>0</v>
      </c>
      <c r="Q14" s="239"/>
      <c r="R14" s="123"/>
      <c r="U14" s="195"/>
      <c r="W14" s="59" t="s">
        <v>358</v>
      </c>
      <c r="X14" s="59" t="s">
        <v>276</v>
      </c>
      <c r="Y14" s="59" t="s">
        <v>277</v>
      </c>
      <c r="Z14" s="59" t="s">
        <v>278</v>
      </c>
      <c r="AA14" s="59" t="s">
        <v>280</v>
      </c>
      <c r="AB14" s="59" t="s">
        <v>276</v>
      </c>
      <c r="AC14" s="5">
        <v>4027</v>
      </c>
      <c r="AD14" t="s">
        <v>69</v>
      </c>
    </row>
    <row r="15" spans="1:34" ht="17.100000000000001" customHeight="1" x14ac:dyDescent="0.25">
      <c r="C15" t="s">
        <v>225</v>
      </c>
      <c r="F15" s="124">
        <f>SUM(F12:F14)</f>
        <v>88697.709999999992</v>
      </c>
      <c r="G15" s="128"/>
      <c r="H15" s="126">
        <f>SUM(H12:H14)</f>
        <v>147912</v>
      </c>
      <c r="I15" s="128"/>
      <c r="J15" s="127">
        <f>SUM(J12:J14)</f>
        <v>94674</v>
      </c>
      <c r="K15" s="19"/>
      <c r="L15" s="124">
        <f>SUM(L13:L14)</f>
        <v>5000</v>
      </c>
      <c r="M15" s="128"/>
      <c r="N15" s="126">
        <f>SUM(N12:N14)</f>
        <v>5000</v>
      </c>
      <c r="O15" s="128"/>
      <c r="P15" s="126">
        <f>SUM(P12:P14)</f>
        <v>50000</v>
      </c>
      <c r="Q15" s="239"/>
      <c r="R15" s="127">
        <f>SUM(R13:R14)</f>
        <v>5000</v>
      </c>
      <c r="U15" s="195"/>
      <c r="W15" s="59" t="s">
        <v>358</v>
      </c>
      <c r="X15" s="59" t="s">
        <v>276</v>
      </c>
      <c r="Y15" s="59" t="s">
        <v>277</v>
      </c>
      <c r="Z15" s="59" t="s">
        <v>278</v>
      </c>
      <c r="AA15" s="59" t="s">
        <v>280</v>
      </c>
      <c r="AB15" s="59" t="s">
        <v>276</v>
      </c>
      <c r="AC15" s="5">
        <v>4173</v>
      </c>
      <c r="AD15" t="s">
        <v>73</v>
      </c>
    </row>
    <row r="16" spans="1:34" x14ac:dyDescent="0.25">
      <c r="F16" s="122"/>
      <c r="G16" s="19"/>
      <c r="H16" s="19"/>
      <c r="I16" s="19"/>
      <c r="J16" s="123"/>
      <c r="K16" s="19"/>
      <c r="L16" s="122"/>
      <c r="M16" s="19"/>
      <c r="N16" s="19"/>
      <c r="O16" s="19"/>
      <c r="P16" s="19"/>
      <c r="Q16" s="239"/>
      <c r="R16" s="123"/>
      <c r="U16" s="195"/>
      <c r="W16" s="59" t="s">
        <v>358</v>
      </c>
      <c r="X16" s="59" t="s">
        <v>276</v>
      </c>
      <c r="Y16" s="59" t="s">
        <v>277</v>
      </c>
      <c r="Z16" s="59" t="s">
        <v>278</v>
      </c>
      <c r="AA16" s="59" t="s">
        <v>280</v>
      </c>
      <c r="AB16" s="59" t="s">
        <v>276</v>
      </c>
      <c r="AC16" s="59" t="s">
        <v>350</v>
      </c>
      <c r="AD16" t="s">
        <v>227</v>
      </c>
    </row>
    <row r="17" spans="2:53" x14ac:dyDescent="0.25">
      <c r="C17" t="s">
        <v>36</v>
      </c>
      <c r="F17" s="141"/>
      <c r="G17" s="105"/>
      <c r="H17" s="105"/>
      <c r="I17" s="105"/>
      <c r="J17" s="146"/>
      <c r="K17" s="19"/>
      <c r="L17" s="122"/>
      <c r="M17" s="19"/>
      <c r="N17" s="19"/>
      <c r="O17" s="19"/>
      <c r="P17" s="19"/>
      <c r="Q17" s="239"/>
      <c r="R17" s="123"/>
      <c r="U17" s="195"/>
      <c r="W17" s="59" t="s">
        <v>358</v>
      </c>
      <c r="X17" s="59" t="s">
        <v>276</v>
      </c>
      <c r="Y17" s="59" t="s">
        <v>277</v>
      </c>
      <c r="Z17" s="59" t="s">
        <v>278</v>
      </c>
      <c r="AA17" s="59" t="s">
        <v>280</v>
      </c>
      <c r="AB17" s="59" t="s">
        <v>276</v>
      </c>
      <c r="AC17" s="59" t="s">
        <v>335</v>
      </c>
      <c r="AD17" t="s">
        <v>227</v>
      </c>
    </row>
    <row r="18" spans="2:53" ht="15.75" thickBot="1" x14ac:dyDescent="0.3">
      <c r="B18" s="7">
        <v>4010</v>
      </c>
      <c r="D18" t="s">
        <v>72</v>
      </c>
      <c r="F18" s="122">
        <v>161290.96</v>
      </c>
      <c r="G18" s="19"/>
      <c r="H18" s="19">
        <v>283144</v>
      </c>
      <c r="I18" s="19"/>
      <c r="J18" s="123">
        <v>250187</v>
      </c>
      <c r="K18" s="19"/>
      <c r="L18" s="122">
        <v>250272</v>
      </c>
      <c r="M18" s="19"/>
      <c r="N18" s="19">
        <v>250272</v>
      </c>
      <c r="O18" s="19"/>
      <c r="P18" s="19">
        <f t="shared" si="1"/>
        <v>-40489</v>
      </c>
      <c r="Q18" s="239"/>
      <c r="R18" s="123">
        <v>209783</v>
      </c>
      <c r="U18" s="195"/>
      <c r="W18" s="59" t="s">
        <v>358</v>
      </c>
      <c r="X18" s="59" t="s">
        <v>276</v>
      </c>
      <c r="Y18" s="59" t="s">
        <v>277</v>
      </c>
      <c r="Z18" s="59" t="s">
        <v>278</v>
      </c>
      <c r="AA18" s="59" t="s">
        <v>280</v>
      </c>
      <c r="AB18" s="59" t="s">
        <v>276</v>
      </c>
      <c r="AC18" s="59" t="s">
        <v>336</v>
      </c>
      <c r="AD18" t="s">
        <v>227</v>
      </c>
    </row>
    <row r="19" spans="2:53" ht="15.75" thickBot="1" x14ac:dyDescent="0.3">
      <c r="B19" s="7">
        <v>4367</v>
      </c>
      <c r="D19" t="s">
        <v>74</v>
      </c>
      <c r="F19" s="122">
        <v>44056</v>
      </c>
      <c r="G19" s="19"/>
      <c r="H19" s="19">
        <v>58346</v>
      </c>
      <c r="I19" s="19"/>
      <c r="J19" s="123">
        <v>49947</v>
      </c>
      <c r="K19" s="19"/>
      <c r="L19" s="122">
        <v>49974</v>
      </c>
      <c r="M19" s="19"/>
      <c r="N19" s="19">
        <v>49974</v>
      </c>
      <c r="O19" s="19"/>
      <c r="P19" s="19">
        <f t="shared" ref="P19:P22" si="2">R19-L19</f>
        <v>-3608</v>
      </c>
      <c r="Q19" s="239"/>
      <c r="R19" s="123">
        <v>46366</v>
      </c>
      <c r="U19" s="195"/>
      <c r="W19" s="59"/>
      <c r="X19" s="59"/>
      <c r="Y19" s="59"/>
      <c r="Z19" s="59"/>
      <c r="AA19" s="59"/>
      <c r="AB19" s="59"/>
      <c r="AC19" s="59"/>
      <c r="AD19" s="173"/>
    </row>
    <row r="20" spans="2:53" ht="15.75" thickBot="1" x14ac:dyDescent="0.3">
      <c r="B20" s="7">
        <v>4365</v>
      </c>
      <c r="D20" t="s">
        <v>75</v>
      </c>
      <c r="F20" s="122">
        <v>11498</v>
      </c>
      <c r="G20" s="19"/>
      <c r="H20" s="19">
        <v>11112</v>
      </c>
      <c r="I20" s="19"/>
      <c r="J20" s="123">
        <v>10029</v>
      </c>
      <c r="K20" s="19"/>
      <c r="L20" s="122">
        <v>11024</v>
      </c>
      <c r="M20" s="19"/>
      <c r="N20" s="19">
        <v>11024</v>
      </c>
      <c r="O20" s="19"/>
      <c r="P20" s="19">
        <f t="shared" si="2"/>
        <v>-788</v>
      </c>
      <c r="Q20" s="239"/>
      <c r="R20" s="123">
        <v>10236</v>
      </c>
      <c r="U20" s="195"/>
      <c r="W20" s="59"/>
      <c r="X20" s="59"/>
      <c r="Y20" s="59"/>
      <c r="Z20" s="59"/>
      <c r="AA20" s="59"/>
      <c r="AB20" s="59"/>
      <c r="AC20" s="59"/>
      <c r="AD20" s="173"/>
    </row>
    <row r="21" spans="2:53" ht="15.75" thickBot="1" x14ac:dyDescent="0.3">
      <c r="B21" s="7">
        <v>4424</v>
      </c>
      <c r="D21" t="s">
        <v>77</v>
      </c>
      <c r="F21" s="122">
        <v>10000</v>
      </c>
      <c r="G21" s="19"/>
      <c r="H21" s="19">
        <v>13744</v>
      </c>
      <c r="I21" s="19"/>
      <c r="J21" s="123">
        <v>19236</v>
      </c>
      <c r="K21" s="19"/>
      <c r="L21" s="122">
        <v>19236</v>
      </c>
      <c r="M21" s="19"/>
      <c r="N21" s="19">
        <v>19236</v>
      </c>
      <c r="O21" s="19"/>
      <c r="P21" s="19">
        <f t="shared" si="2"/>
        <v>-3065</v>
      </c>
      <c r="Q21" s="239"/>
      <c r="R21" s="123">
        <v>16171</v>
      </c>
      <c r="U21" s="195"/>
      <c r="W21" s="59"/>
      <c r="X21" s="59"/>
      <c r="Y21" s="59"/>
      <c r="Z21" s="59"/>
      <c r="AA21" s="59"/>
      <c r="AB21" s="59"/>
      <c r="AC21" s="59"/>
      <c r="AD21" s="173"/>
    </row>
    <row r="22" spans="2:53" x14ac:dyDescent="0.25">
      <c r="B22" s="7">
        <v>4048</v>
      </c>
      <c r="D22" t="s">
        <v>76</v>
      </c>
      <c r="F22" s="122">
        <v>0</v>
      </c>
      <c r="G22" s="19"/>
      <c r="H22" s="19">
        <v>0</v>
      </c>
      <c r="I22" s="19"/>
      <c r="J22" s="123">
        <v>0</v>
      </c>
      <c r="K22" s="19"/>
      <c r="L22" s="122">
        <v>0</v>
      </c>
      <c r="M22" s="19"/>
      <c r="N22" s="19">
        <v>0</v>
      </c>
      <c r="O22" s="19"/>
      <c r="P22" s="19">
        <f t="shared" si="2"/>
        <v>0</v>
      </c>
      <c r="Q22" s="239"/>
      <c r="R22" s="123">
        <v>0</v>
      </c>
      <c r="U22" s="195"/>
    </row>
    <row r="23" spans="2:53" x14ac:dyDescent="0.25">
      <c r="B23" s="7">
        <v>4027</v>
      </c>
      <c r="D23" t="s">
        <v>69</v>
      </c>
      <c r="F23" s="122">
        <v>0</v>
      </c>
      <c r="G23" s="19"/>
      <c r="H23" s="19">
        <v>0</v>
      </c>
      <c r="I23" s="19"/>
      <c r="J23" s="123">
        <v>0</v>
      </c>
      <c r="K23" s="19"/>
      <c r="L23" s="122">
        <v>0</v>
      </c>
      <c r="M23" s="19"/>
      <c r="N23" s="19">
        <v>0</v>
      </c>
      <c r="O23" s="19"/>
      <c r="P23" s="19">
        <f t="shared" si="1"/>
        <v>0</v>
      </c>
      <c r="Q23" s="239"/>
      <c r="R23" s="123">
        <v>0</v>
      </c>
      <c r="U23" s="195"/>
    </row>
    <row r="24" spans="2:53" x14ac:dyDescent="0.25">
      <c r="B24" s="7">
        <v>4173</v>
      </c>
      <c r="D24" t="s">
        <v>73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19">
        <v>0</v>
      </c>
      <c r="O24" s="19"/>
      <c r="P24" s="19">
        <f t="shared" ref="P24:P26" si="3">R24-L24</f>
        <v>0</v>
      </c>
      <c r="Q24" s="239"/>
      <c r="R24" s="123">
        <v>0</v>
      </c>
      <c r="U24" s="195"/>
    </row>
    <row r="25" spans="2:53" ht="16.5" thickBot="1" x14ac:dyDescent="0.3">
      <c r="B25" s="7">
        <v>4414</v>
      </c>
      <c r="D25" t="s">
        <v>227</v>
      </c>
      <c r="F25" s="122">
        <v>548309.75</v>
      </c>
      <c r="G25" s="19"/>
      <c r="H25" s="19">
        <v>148681</v>
      </c>
      <c r="I25" s="19"/>
      <c r="J25" s="123">
        <v>0</v>
      </c>
      <c r="K25" s="19"/>
      <c r="L25" s="122">
        <v>0</v>
      </c>
      <c r="M25" s="19"/>
      <c r="N25" s="19">
        <v>0</v>
      </c>
      <c r="O25" s="19"/>
      <c r="P25" s="19">
        <f t="shared" si="3"/>
        <v>0</v>
      </c>
      <c r="Q25" s="239"/>
      <c r="R25" s="123">
        <v>0</v>
      </c>
      <c r="U25" s="195"/>
      <c r="W25" s="400" t="s">
        <v>173</v>
      </c>
      <c r="X25" s="400"/>
      <c r="Y25" s="400"/>
      <c r="Z25" s="400"/>
      <c r="AA25" s="400"/>
      <c r="AB25" s="400"/>
      <c r="AC25" s="400"/>
      <c r="AJ25" s="59"/>
      <c r="AK25" s="59"/>
      <c r="AL25" s="59"/>
      <c r="AM25" s="5"/>
      <c r="AN25" s="5"/>
      <c r="AO25" s="5"/>
      <c r="AP25" s="5"/>
      <c r="AU25" s="400" t="s">
        <v>173</v>
      </c>
      <c r="AV25" s="400"/>
      <c r="AW25" s="400"/>
      <c r="AX25" s="400"/>
      <c r="AY25" s="400"/>
      <c r="AZ25" s="400"/>
      <c r="BA25" s="400"/>
    </row>
    <row r="26" spans="2:53" ht="16.5" thickBot="1" x14ac:dyDescent="0.3">
      <c r="B26" s="7">
        <v>4420</v>
      </c>
      <c r="D26" t="s">
        <v>227</v>
      </c>
      <c r="F26" s="122">
        <v>0</v>
      </c>
      <c r="G26" s="19"/>
      <c r="H26" s="19">
        <v>0</v>
      </c>
      <c r="I26" s="19"/>
      <c r="J26" s="123">
        <v>0</v>
      </c>
      <c r="K26" s="19"/>
      <c r="L26" s="122">
        <v>0</v>
      </c>
      <c r="M26" s="19"/>
      <c r="N26" s="19">
        <v>0</v>
      </c>
      <c r="O26" s="19"/>
      <c r="P26" s="19">
        <f t="shared" si="3"/>
        <v>0</v>
      </c>
      <c r="Q26" s="239"/>
      <c r="R26" s="123">
        <v>0</v>
      </c>
      <c r="U26" s="195"/>
      <c r="W26" s="401" t="s">
        <v>273</v>
      </c>
      <c r="X26" s="401"/>
      <c r="Y26" s="401"/>
      <c r="Z26" s="401"/>
      <c r="AA26" s="401"/>
      <c r="AB26" s="401"/>
      <c r="AC26" s="401"/>
      <c r="AE26" s="70" t="e">
        <f>+#REF!</f>
        <v>#REF!</v>
      </c>
      <c r="AF26" s="70" t="e">
        <f>+#REF!</f>
        <v>#REF!</v>
      </c>
      <c r="AG26" s="70" t="e">
        <f>+#REF!</f>
        <v>#REF!</v>
      </c>
      <c r="AH26" s="70" t="e">
        <f>+#REF!</f>
        <v>#REF!</v>
      </c>
      <c r="AJ26" s="104"/>
      <c r="AK26" s="104"/>
      <c r="AL26" s="59"/>
      <c r="AM26" s="96"/>
      <c r="AN26" s="94"/>
      <c r="AO26" s="94"/>
      <c r="AP26" s="101" t="s">
        <v>238</v>
      </c>
      <c r="AQ26" s="103">
        <f>+BudgetAssump!$K$23+BudgetAssump!$K$24</f>
        <v>0.22850000000000001</v>
      </c>
      <c r="AR26" s="90"/>
      <c r="AS26" s="98" t="s">
        <v>236</v>
      </c>
      <c r="AT26" s="98"/>
      <c r="AU26" s="401" t="s">
        <v>272</v>
      </c>
      <c r="AV26" s="401"/>
      <c r="AW26" s="401"/>
      <c r="AX26" s="401"/>
      <c r="AY26" s="401"/>
      <c r="AZ26" s="401"/>
      <c r="BA26" s="401"/>
    </row>
    <row r="27" spans="2:53" ht="14.1" customHeight="1" thickBot="1" x14ac:dyDescent="0.3">
      <c r="D27" t="s">
        <v>227</v>
      </c>
      <c r="F27" s="131">
        <v>0</v>
      </c>
      <c r="G27" s="19"/>
      <c r="H27" s="132">
        <v>0</v>
      </c>
      <c r="I27" s="19"/>
      <c r="J27" s="133">
        <v>0</v>
      </c>
      <c r="K27" s="19"/>
      <c r="L27" s="131">
        <v>0</v>
      </c>
      <c r="M27" s="19"/>
      <c r="N27" s="132">
        <v>0</v>
      </c>
      <c r="O27" s="19"/>
      <c r="P27" s="132">
        <f t="shared" ref="P27" si="4">R27-L27</f>
        <v>0</v>
      </c>
      <c r="Q27" s="239"/>
      <c r="R27" s="133">
        <v>0</v>
      </c>
      <c r="U27" s="195"/>
      <c r="V27" s="187" t="s">
        <v>233</v>
      </c>
      <c r="W27" s="188" t="s">
        <v>231</v>
      </c>
      <c r="X27" s="188" t="s">
        <v>231</v>
      </c>
      <c r="Y27" s="188" t="s">
        <v>231</v>
      </c>
      <c r="Z27" s="188" t="s">
        <v>231</v>
      </c>
      <c r="AA27" s="188" t="s">
        <v>231</v>
      </c>
      <c r="AB27" s="188" t="s">
        <v>231</v>
      </c>
      <c r="AC27" s="188" t="s">
        <v>231</v>
      </c>
      <c r="AD27" s="187" t="s">
        <v>233</v>
      </c>
      <c r="AE27" s="188" t="s">
        <v>232</v>
      </c>
      <c r="AF27" s="188" t="s">
        <v>232</v>
      </c>
      <c r="AG27" s="188" t="s">
        <v>232</v>
      </c>
      <c r="AH27" s="188" t="s">
        <v>232</v>
      </c>
      <c r="AJ27" s="59" t="s">
        <v>231</v>
      </c>
      <c r="AK27" s="59" t="s">
        <v>231</v>
      </c>
      <c r="AL27" s="59" t="s">
        <v>231</v>
      </c>
      <c r="AM27" s="96" t="s">
        <v>232</v>
      </c>
      <c r="AN27" s="96" t="s">
        <v>232</v>
      </c>
      <c r="AO27" s="96" t="s">
        <v>232</v>
      </c>
      <c r="AP27" s="90" t="s">
        <v>232</v>
      </c>
      <c r="AQ27" s="98" t="s">
        <v>232</v>
      </c>
      <c r="AR27" s="90" t="s">
        <v>232</v>
      </c>
      <c r="AS27" s="98" t="s">
        <v>232</v>
      </c>
      <c r="AT27" s="98"/>
      <c r="AU27" s="90" t="s">
        <v>231</v>
      </c>
      <c r="AV27" s="90" t="s">
        <v>231</v>
      </c>
      <c r="AW27" s="90" t="s">
        <v>231</v>
      </c>
      <c r="AX27" s="90" t="s">
        <v>231</v>
      </c>
      <c r="AY27" s="90" t="s">
        <v>231</v>
      </c>
      <c r="AZ27" s="90" t="s">
        <v>231</v>
      </c>
      <c r="BA27" s="59" t="s">
        <v>231</v>
      </c>
    </row>
    <row r="28" spans="2:53" ht="15.75" thickBot="1" x14ac:dyDescent="0.3">
      <c r="C28" t="s">
        <v>226</v>
      </c>
      <c r="F28" s="124">
        <f>SUM(F18:F27)</f>
        <v>775154.71</v>
      </c>
      <c r="G28" s="128"/>
      <c r="H28" s="126">
        <f>SUM(H18:H27)</f>
        <v>515027</v>
      </c>
      <c r="I28" s="128"/>
      <c r="J28" s="127">
        <f>SUM(J18:J27)</f>
        <v>329399</v>
      </c>
      <c r="K28" s="19"/>
      <c r="L28" s="124">
        <f>SUM(L18:L27)</f>
        <v>330506</v>
      </c>
      <c r="M28" s="128"/>
      <c r="N28" s="126">
        <f>SUM(N18:N27)</f>
        <v>330506</v>
      </c>
      <c r="O28" s="128"/>
      <c r="P28" s="126">
        <f>SUM(P18:P27)</f>
        <v>-47950</v>
      </c>
      <c r="Q28" s="239"/>
      <c r="R28" s="127">
        <f>SUM(R18:R27)</f>
        <v>282556</v>
      </c>
      <c r="U28" s="195"/>
      <c r="W28" s="66" t="s">
        <v>144</v>
      </c>
      <c r="X28" s="69" t="s">
        <v>139</v>
      </c>
      <c r="Y28" s="67" t="s">
        <v>145</v>
      </c>
      <c r="Z28" s="69" t="s">
        <v>174</v>
      </c>
      <c r="AA28" s="67" t="s">
        <v>175</v>
      </c>
      <c r="AB28" s="69" t="s">
        <v>148</v>
      </c>
      <c r="AC28" s="68" t="s">
        <v>149</v>
      </c>
      <c r="AD28" s="68" t="s">
        <v>229</v>
      </c>
      <c r="AE28" s="69" t="e">
        <f>+#REF!</f>
        <v>#REF!</v>
      </c>
      <c r="AF28" s="69" t="e">
        <f>+#REF!</f>
        <v>#REF!</v>
      </c>
      <c r="AG28" s="69" t="e">
        <f>+#REF!</f>
        <v>#REF!</v>
      </c>
      <c r="AH28" s="69" t="e">
        <f>+#REF!</f>
        <v>#REF!</v>
      </c>
      <c r="AJ28" s="102" t="s">
        <v>138</v>
      </c>
      <c r="AK28" s="102" t="s">
        <v>150</v>
      </c>
      <c r="AL28" s="102" t="s">
        <v>235</v>
      </c>
      <c r="AM28" s="97" t="s">
        <v>140</v>
      </c>
      <c r="AN28" s="95" t="s">
        <v>141</v>
      </c>
      <c r="AO28" s="95" t="s">
        <v>142</v>
      </c>
      <c r="AP28" s="93" t="s">
        <v>143</v>
      </c>
      <c r="AQ28" s="99" t="s">
        <v>161</v>
      </c>
      <c r="AR28" s="93" t="s">
        <v>162</v>
      </c>
      <c r="AS28" s="99" t="s">
        <v>283</v>
      </c>
      <c r="AT28" s="99" t="s">
        <v>237</v>
      </c>
      <c r="AU28" s="58" t="s">
        <v>144</v>
      </c>
      <c r="AV28" s="58" t="s">
        <v>139</v>
      </c>
      <c r="AW28" s="58" t="s">
        <v>145</v>
      </c>
      <c r="AX28" s="58" t="s">
        <v>146</v>
      </c>
      <c r="AY28" s="58" t="s">
        <v>147</v>
      </c>
      <c r="AZ28" s="58" t="s">
        <v>148</v>
      </c>
      <c r="BA28" s="102" t="s">
        <v>149</v>
      </c>
    </row>
    <row r="29" spans="2:53" x14ac:dyDescent="0.25">
      <c r="F29" s="122"/>
      <c r="G29" s="19"/>
      <c r="H29" s="19"/>
      <c r="I29" s="19"/>
      <c r="J29" s="123"/>
      <c r="K29" s="19"/>
      <c r="L29" s="122"/>
      <c r="M29" s="19"/>
      <c r="N29" s="19"/>
      <c r="O29" s="19"/>
      <c r="P29" s="19"/>
      <c r="Q29" s="239"/>
      <c r="R29" s="123"/>
      <c r="U29" s="195"/>
      <c r="W29" s="59"/>
      <c r="X29" s="59"/>
      <c r="Y29" s="59"/>
      <c r="Z29" s="59"/>
      <c r="AA29" s="59"/>
      <c r="AB29" s="59"/>
      <c r="AC29" s="59"/>
      <c r="AD29" s="59"/>
      <c r="AE29" s="90"/>
      <c r="AF29" s="90"/>
      <c r="AG29" s="90"/>
      <c r="AH29" s="91"/>
      <c r="AJ29" s="59"/>
      <c r="AK29" s="59"/>
      <c r="AL29" s="59"/>
      <c r="AM29" s="96"/>
      <c r="AN29" s="94"/>
      <c r="AO29" s="94"/>
      <c r="AP29" s="90"/>
      <c r="AQ29" t="e">
        <f>+AP29*#REF!</f>
        <v>#REF!</v>
      </c>
      <c r="AR29" s="90"/>
      <c r="AS29" s="98" t="e">
        <f>AQ29+AR29</f>
        <v>#REF!</v>
      </c>
      <c r="AT29" s="98" t="e">
        <f>+AS29+AP29</f>
        <v>#REF!</v>
      </c>
      <c r="AU29" s="59"/>
      <c r="AV29" s="59"/>
      <c r="AW29" s="59"/>
      <c r="AX29" s="59"/>
      <c r="AY29" s="59"/>
      <c r="AZ29" s="59"/>
      <c r="BA29" s="59"/>
    </row>
    <row r="30" spans="2:53" x14ac:dyDescent="0.25">
      <c r="B30" s="7">
        <v>5210</v>
      </c>
      <c r="C30" t="s">
        <v>159</v>
      </c>
      <c r="F30" s="122">
        <v>0</v>
      </c>
      <c r="G30" s="128"/>
      <c r="H30" s="19">
        <v>0</v>
      </c>
      <c r="I30" s="128"/>
      <c r="J30" s="123">
        <v>0</v>
      </c>
      <c r="K30" s="19"/>
      <c r="L30" s="122"/>
      <c r="M30" s="128"/>
      <c r="N30" s="19"/>
      <c r="O30" s="128"/>
      <c r="P30" s="19">
        <f t="shared" si="0"/>
        <v>0</v>
      </c>
      <c r="Q30" s="239"/>
      <c r="R30" s="123"/>
      <c r="U30" s="195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2"/>
      <c r="AJ30" s="59"/>
      <c r="AK30" s="59"/>
      <c r="AL30" s="59"/>
      <c r="AM30" s="96"/>
      <c r="AN30" s="94"/>
      <c r="AO30" s="94"/>
      <c r="AP30" s="90"/>
      <c r="AQ30" t="e">
        <f>+AP30*#REF!</f>
        <v>#REF!</v>
      </c>
      <c r="AR30" s="90"/>
      <c r="AS30" s="98" t="e">
        <f t="shared" ref="AS30:AS58" si="5">AQ30+AR30</f>
        <v>#REF!</v>
      </c>
      <c r="AT30" s="98" t="e">
        <f t="shared" ref="AT30:AT58" si="6">+AS30+AP30</f>
        <v>#REF!</v>
      </c>
      <c r="AU30" s="59"/>
      <c r="AV30" s="59"/>
      <c r="AW30" s="59"/>
      <c r="AX30" s="59"/>
      <c r="AY30" s="59"/>
      <c r="AZ30" s="59"/>
      <c r="BA30" s="59"/>
    </row>
    <row r="31" spans="2:53" x14ac:dyDescent="0.25">
      <c r="F31" s="122"/>
      <c r="G31" s="128"/>
      <c r="H31" s="19"/>
      <c r="I31" s="128"/>
      <c r="J31" s="133"/>
      <c r="K31" s="19"/>
      <c r="L31" s="122"/>
      <c r="M31" s="128"/>
      <c r="N31" s="19"/>
      <c r="O31" s="128"/>
      <c r="P31" s="19"/>
      <c r="Q31" s="239"/>
      <c r="R31" s="123"/>
      <c r="U31" s="195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2"/>
      <c r="AJ31" s="59"/>
      <c r="AK31" s="59"/>
      <c r="AL31" s="59"/>
      <c r="AM31" s="96"/>
      <c r="AN31" s="94"/>
      <c r="AO31" s="94"/>
      <c r="AP31" s="90"/>
      <c r="AQ31" t="e">
        <f>+AP31*#REF!</f>
        <v>#REF!</v>
      </c>
      <c r="AR31" s="90"/>
      <c r="AS31" s="98" t="e">
        <f t="shared" si="5"/>
        <v>#REF!</v>
      </c>
      <c r="AT31" s="98" t="e">
        <f t="shared" si="6"/>
        <v>#REF!</v>
      </c>
      <c r="AU31" s="59"/>
      <c r="AV31" s="59"/>
      <c r="AW31" s="59"/>
      <c r="AX31" s="59"/>
      <c r="AY31" s="59"/>
      <c r="AZ31" s="59"/>
      <c r="BA31" s="59"/>
    </row>
    <row r="32" spans="2:53" x14ac:dyDescent="0.25">
      <c r="B32" s="7" t="s">
        <v>37</v>
      </c>
      <c r="F32" s="124">
        <f>F15+F28+F30</f>
        <v>863852.41999999993</v>
      </c>
      <c r="G32" s="128"/>
      <c r="H32" s="126">
        <f>H15+H28+H30</f>
        <v>662939</v>
      </c>
      <c r="I32" s="128"/>
      <c r="J32" s="127">
        <f>J15+J28+J30</f>
        <v>424073</v>
      </c>
      <c r="K32" s="19"/>
      <c r="L32" s="124">
        <f>L12+L15+L28+L30</f>
        <v>335506</v>
      </c>
      <c r="M32" s="128"/>
      <c r="N32" s="126">
        <f>N12+N15+N28+N30</f>
        <v>335506</v>
      </c>
      <c r="O32" s="128"/>
      <c r="P32" s="126">
        <f>P12+P15+P28+P30</f>
        <v>52050</v>
      </c>
      <c r="Q32" s="239"/>
      <c r="R32" s="127">
        <f>R12+R15+R28+R30</f>
        <v>337556</v>
      </c>
      <c r="U32" s="195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2"/>
      <c r="AJ32" s="59"/>
      <c r="AK32" s="59"/>
      <c r="AL32" s="59"/>
      <c r="AM32" s="96"/>
      <c r="AN32" s="94"/>
      <c r="AO32" s="94"/>
      <c r="AP32" s="90"/>
      <c r="AQ32" t="e">
        <f>+AP32*#REF!</f>
        <v>#REF!</v>
      </c>
      <c r="AR32" s="90"/>
      <c r="AS32" s="98" t="e">
        <f t="shared" si="5"/>
        <v>#REF!</v>
      </c>
      <c r="AT32" s="98" t="e">
        <f t="shared" si="6"/>
        <v>#REF!</v>
      </c>
      <c r="AU32" s="59"/>
      <c r="AV32" s="59"/>
      <c r="AW32" s="59"/>
      <c r="AX32" s="59"/>
      <c r="AY32" s="59"/>
      <c r="AZ32" s="59"/>
      <c r="BA32" s="59"/>
    </row>
    <row r="33" spans="2:53" x14ac:dyDescent="0.25">
      <c r="F33" s="122"/>
      <c r="G33" s="19"/>
      <c r="H33" s="19"/>
      <c r="I33" s="19"/>
      <c r="J33" s="123"/>
      <c r="K33" s="19"/>
      <c r="L33" s="122"/>
      <c r="M33" s="19"/>
      <c r="N33" s="19"/>
      <c r="O33" s="19"/>
      <c r="P33" s="19"/>
      <c r="Q33" s="239"/>
      <c r="R33" s="123"/>
      <c r="U33" s="195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2"/>
      <c r="AJ33" s="59"/>
      <c r="AK33" s="59"/>
      <c r="AL33" s="59"/>
      <c r="AM33" s="96"/>
      <c r="AN33" s="94"/>
      <c r="AO33" s="94"/>
      <c r="AP33" s="90"/>
      <c r="AQ33" t="e">
        <f>+AP33*#REF!</f>
        <v>#REF!</v>
      </c>
      <c r="AR33" s="90"/>
      <c r="AS33" s="98" t="e">
        <f t="shared" si="5"/>
        <v>#REF!</v>
      </c>
      <c r="AT33" s="98" t="e">
        <f t="shared" si="6"/>
        <v>#REF!</v>
      </c>
      <c r="AU33" s="59"/>
      <c r="AV33" s="59"/>
      <c r="AW33" s="59"/>
      <c r="AX33" s="59"/>
      <c r="AY33" s="59"/>
      <c r="AZ33" s="59"/>
      <c r="BA33" s="59"/>
    </row>
    <row r="34" spans="2:53" x14ac:dyDescent="0.25">
      <c r="B34" s="7" t="s">
        <v>39</v>
      </c>
      <c r="F34" s="122"/>
      <c r="G34" s="19"/>
      <c r="H34" s="19"/>
      <c r="I34" s="19"/>
      <c r="J34" s="123"/>
      <c r="K34" s="19"/>
      <c r="L34" s="122"/>
      <c r="M34" s="19"/>
      <c r="N34" s="19"/>
      <c r="O34" s="19"/>
      <c r="P34" s="19"/>
      <c r="Q34" s="239"/>
      <c r="R34" s="123"/>
      <c r="U34" s="195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2"/>
      <c r="AJ34" s="59"/>
      <c r="AK34" s="59"/>
      <c r="AL34" s="59"/>
      <c r="AM34" s="96"/>
      <c r="AN34" s="94"/>
      <c r="AO34" s="94"/>
      <c r="AP34" s="90"/>
      <c r="AQ34" t="e">
        <f>+AP34*#REF!</f>
        <v>#REF!</v>
      </c>
      <c r="AR34" s="90"/>
      <c r="AS34" s="98" t="e">
        <f t="shared" si="5"/>
        <v>#REF!</v>
      </c>
      <c r="AT34" s="98" t="e">
        <f t="shared" si="6"/>
        <v>#REF!</v>
      </c>
      <c r="AU34" s="59"/>
      <c r="AV34" s="59"/>
      <c r="AW34" s="59"/>
      <c r="AX34" s="59"/>
      <c r="AY34" s="59"/>
      <c r="AZ34" s="59"/>
      <c r="BA34" s="59"/>
    </row>
    <row r="35" spans="2:53" x14ac:dyDescent="0.25">
      <c r="B35" s="118" t="s">
        <v>204</v>
      </c>
      <c r="C35" t="s">
        <v>60</v>
      </c>
      <c r="F35" s="122">
        <v>427139</v>
      </c>
      <c r="G35" s="19"/>
      <c r="H35" s="19">
        <v>353535</v>
      </c>
      <c r="I35" s="19"/>
      <c r="J35" s="123">
        <v>230849</v>
      </c>
      <c r="K35" s="19"/>
      <c r="L35" s="122">
        <v>219174</v>
      </c>
      <c r="M35" s="19"/>
      <c r="N35" s="19">
        <f>T35*$N$32</f>
        <v>219174</v>
      </c>
      <c r="O35" s="19"/>
      <c r="P35" s="19">
        <f t="shared" ref="P35:P43" si="7">R35-L35</f>
        <v>-31122</v>
      </c>
      <c r="Q35" s="239"/>
      <c r="R35" s="123">
        <v>188052</v>
      </c>
      <c r="T35" s="212">
        <f>L35/$L$32</f>
        <v>0.65326402508449921</v>
      </c>
      <c r="U35" s="195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2"/>
      <c r="AJ35" s="59"/>
      <c r="AK35" s="59"/>
      <c r="AL35" s="59"/>
      <c r="AM35" s="96"/>
      <c r="AN35" s="94"/>
      <c r="AO35" s="94"/>
      <c r="AP35" s="90"/>
      <c r="AQ35" t="e">
        <f>+AP35*#REF!</f>
        <v>#REF!</v>
      </c>
      <c r="AR35" s="90"/>
      <c r="AS35" s="98" t="e">
        <f t="shared" si="5"/>
        <v>#REF!</v>
      </c>
      <c r="AT35" s="98" t="e">
        <f t="shared" si="6"/>
        <v>#REF!</v>
      </c>
      <c r="AU35" s="59"/>
      <c r="AV35" s="59"/>
      <c r="AW35" s="59"/>
      <c r="AX35" s="59"/>
      <c r="AY35" s="59"/>
      <c r="AZ35" s="59"/>
      <c r="BA35" s="59"/>
    </row>
    <row r="36" spans="2:53" x14ac:dyDescent="0.25">
      <c r="B36" s="118" t="s">
        <v>196</v>
      </c>
      <c r="C36" t="s">
        <v>61</v>
      </c>
      <c r="F36" s="122">
        <v>135989</v>
      </c>
      <c r="G36" s="19"/>
      <c r="H36" s="19">
        <v>131737</v>
      </c>
      <c r="I36" s="19"/>
      <c r="J36" s="123">
        <v>65917</v>
      </c>
      <c r="K36" s="19"/>
      <c r="L36" s="122">
        <v>83695</v>
      </c>
      <c r="M36" s="19"/>
      <c r="N36" s="19">
        <f t="shared" ref="N36:N42" si="8">T36*$N$32</f>
        <v>83695</v>
      </c>
      <c r="O36" s="19"/>
      <c r="P36" s="19">
        <f t="shared" si="7"/>
        <v>-12404</v>
      </c>
      <c r="Q36" s="239"/>
      <c r="R36" s="123">
        <v>71291</v>
      </c>
      <c r="T36" s="212">
        <f t="shared" ref="T36:T43" si="9">L36/$L$32</f>
        <v>0.2494590260680882</v>
      </c>
      <c r="U36" s="195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2"/>
      <c r="AJ36" s="59"/>
      <c r="AK36" s="59"/>
      <c r="AL36" s="59"/>
      <c r="AM36" s="96"/>
      <c r="AN36" s="94"/>
      <c r="AO36" s="94"/>
      <c r="AP36" s="90"/>
      <c r="AQ36" t="e">
        <f>+AP36*#REF!</f>
        <v>#REF!</v>
      </c>
      <c r="AR36" s="90"/>
      <c r="AS36" s="98" t="e">
        <f t="shared" si="5"/>
        <v>#REF!</v>
      </c>
      <c r="AT36" s="98" t="e">
        <f t="shared" si="6"/>
        <v>#REF!</v>
      </c>
      <c r="AU36" s="59"/>
      <c r="AV36" s="59"/>
      <c r="AW36" s="59"/>
      <c r="AX36" s="59"/>
      <c r="AY36" s="59"/>
      <c r="AZ36" s="59"/>
      <c r="BA36" s="59"/>
    </row>
    <row r="37" spans="2:53" x14ac:dyDescent="0.25">
      <c r="B37" s="118" t="s">
        <v>197</v>
      </c>
      <c r="C37" t="s">
        <v>62</v>
      </c>
      <c r="F37" s="122">
        <v>182569</v>
      </c>
      <c r="G37" s="19"/>
      <c r="H37" s="19">
        <v>66956</v>
      </c>
      <c r="I37" s="19"/>
      <c r="J37" s="123">
        <v>8044</v>
      </c>
      <c r="K37" s="19"/>
      <c r="L37" s="122">
        <v>0</v>
      </c>
      <c r="M37" s="19"/>
      <c r="N37" s="19">
        <f t="shared" si="8"/>
        <v>0</v>
      </c>
      <c r="O37" s="19"/>
      <c r="P37" s="19">
        <f t="shared" si="7"/>
        <v>0</v>
      </c>
      <c r="Q37" s="239"/>
      <c r="R37" s="123">
        <v>0</v>
      </c>
      <c r="T37" s="212">
        <f t="shared" si="9"/>
        <v>0</v>
      </c>
      <c r="U37" s="195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2"/>
      <c r="AJ37" s="59"/>
      <c r="AK37" s="59"/>
      <c r="AL37" s="59"/>
      <c r="AM37" s="96"/>
      <c r="AN37" s="94"/>
      <c r="AO37" s="94"/>
      <c r="AP37" s="90"/>
      <c r="AQ37" t="e">
        <f>+AP37*#REF!</f>
        <v>#REF!</v>
      </c>
      <c r="AR37" s="90"/>
      <c r="AS37" s="98" t="e">
        <f t="shared" si="5"/>
        <v>#REF!</v>
      </c>
      <c r="AT37" s="98" t="e">
        <f t="shared" si="6"/>
        <v>#REF!</v>
      </c>
      <c r="AU37" s="59"/>
      <c r="AV37" s="59"/>
      <c r="AW37" s="59"/>
      <c r="AX37" s="59"/>
      <c r="AY37" s="59"/>
      <c r="AZ37" s="59"/>
      <c r="BA37" s="59"/>
    </row>
    <row r="38" spans="2:53" x14ac:dyDescent="0.25">
      <c r="B38" s="118" t="s">
        <v>198</v>
      </c>
      <c r="C38" t="s">
        <v>63</v>
      </c>
      <c r="F38" s="122">
        <v>0</v>
      </c>
      <c r="G38" s="19"/>
      <c r="H38" s="19">
        <v>0</v>
      </c>
      <c r="I38" s="19"/>
      <c r="J38" s="123">
        <v>0</v>
      </c>
      <c r="K38" s="19"/>
      <c r="L38" s="122">
        <v>0</v>
      </c>
      <c r="M38" s="19"/>
      <c r="N38" s="19">
        <f t="shared" si="8"/>
        <v>0</v>
      </c>
      <c r="O38" s="19"/>
      <c r="P38" s="19">
        <f t="shared" si="7"/>
        <v>0</v>
      </c>
      <c r="Q38" s="239"/>
      <c r="R38" s="123">
        <v>0</v>
      </c>
      <c r="T38" s="212">
        <f t="shared" si="9"/>
        <v>0</v>
      </c>
      <c r="U38" s="195"/>
      <c r="AJ38" s="59"/>
      <c r="AK38" s="59"/>
      <c r="AL38" s="59"/>
      <c r="AM38" s="96"/>
      <c r="AN38" s="94"/>
      <c r="AO38" s="94"/>
      <c r="AP38" s="90"/>
      <c r="AQ38" t="e">
        <f>+AP38*#REF!</f>
        <v>#REF!</v>
      </c>
      <c r="AR38" s="90"/>
      <c r="AS38" s="98" t="e">
        <f t="shared" si="5"/>
        <v>#REF!</v>
      </c>
      <c r="AT38" s="98" t="e">
        <f t="shared" si="6"/>
        <v>#REF!</v>
      </c>
      <c r="AU38" s="59"/>
      <c r="AV38" s="59"/>
      <c r="AW38" s="59"/>
      <c r="AX38" s="59"/>
      <c r="AY38" s="59"/>
      <c r="AZ38" s="59"/>
      <c r="BA38" s="59"/>
    </row>
    <row r="39" spans="2:53" x14ac:dyDescent="0.25">
      <c r="B39" s="118" t="s">
        <v>199</v>
      </c>
      <c r="C39" t="s">
        <v>49</v>
      </c>
      <c r="F39" s="122">
        <v>8634</v>
      </c>
      <c r="G39" s="19"/>
      <c r="H39" s="19">
        <v>0</v>
      </c>
      <c r="I39" s="19"/>
      <c r="J39" s="123">
        <v>24792</v>
      </c>
      <c r="K39" s="19"/>
      <c r="L39" s="122">
        <v>19236</v>
      </c>
      <c r="M39" s="19"/>
      <c r="N39" s="19">
        <f t="shared" si="8"/>
        <v>19236</v>
      </c>
      <c r="O39" s="19"/>
      <c r="P39" s="19">
        <f t="shared" si="7"/>
        <v>-3065</v>
      </c>
      <c r="Q39" s="239"/>
      <c r="R39" s="123">
        <v>16171</v>
      </c>
      <c r="T39" s="212">
        <f t="shared" si="9"/>
        <v>5.7334295064767844E-2</v>
      </c>
      <c r="U39" s="195"/>
      <c r="AJ39" s="59"/>
      <c r="AK39" s="59"/>
      <c r="AL39" s="59"/>
      <c r="AM39" s="96"/>
      <c r="AN39" s="94"/>
      <c r="AO39" s="94"/>
      <c r="AP39" s="90"/>
      <c r="AQ39" t="e">
        <f>+AP39*#REF!</f>
        <v>#REF!</v>
      </c>
      <c r="AR39" s="90"/>
      <c r="AS39" s="98" t="e">
        <f t="shared" si="5"/>
        <v>#REF!</v>
      </c>
      <c r="AT39" s="98" t="e">
        <f t="shared" si="6"/>
        <v>#REF!</v>
      </c>
      <c r="AU39" s="59"/>
      <c r="AV39" s="59"/>
      <c r="AW39" s="59"/>
      <c r="AX39" s="59"/>
      <c r="AY39" s="59"/>
      <c r="AZ39" s="59"/>
      <c r="BA39" s="59"/>
    </row>
    <row r="40" spans="2:53" x14ac:dyDescent="0.25">
      <c r="B40" s="87" t="s">
        <v>200</v>
      </c>
      <c r="C40" t="s">
        <v>64</v>
      </c>
      <c r="F40" s="122">
        <v>109521</v>
      </c>
      <c r="G40" s="19"/>
      <c r="H40" s="19">
        <v>110711</v>
      </c>
      <c r="I40" s="19"/>
      <c r="J40" s="123">
        <v>94471</v>
      </c>
      <c r="K40" s="19"/>
      <c r="L40" s="122">
        <v>13401</v>
      </c>
      <c r="M40" s="19"/>
      <c r="N40" s="19">
        <f t="shared" si="8"/>
        <v>13401</v>
      </c>
      <c r="O40" s="19"/>
      <c r="P40" s="19">
        <f t="shared" si="7"/>
        <v>48641</v>
      </c>
      <c r="Q40" s="239"/>
      <c r="R40" s="123">
        <v>62042</v>
      </c>
      <c r="T40" s="212">
        <f t="shared" si="9"/>
        <v>3.9942653782644721E-2</v>
      </c>
      <c r="AJ40" s="59"/>
      <c r="AK40" s="59"/>
      <c r="AL40" s="59"/>
      <c r="AM40" s="96"/>
      <c r="AN40" s="94"/>
      <c r="AO40" s="94"/>
      <c r="AP40" s="90"/>
      <c r="AQ40" t="e">
        <f>+AP40*#REF!</f>
        <v>#REF!</v>
      </c>
      <c r="AR40" s="90"/>
      <c r="AS40" s="98" t="e">
        <f t="shared" si="5"/>
        <v>#REF!</v>
      </c>
      <c r="AT40" s="98" t="e">
        <f t="shared" si="6"/>
        <v>#REF!</v>
      </c>
      <c r="AU40" s="59"/>
      <c r="AV40" s="59"/>
      <c r="AW40" s="59"/>
      <c r="AX40" s="59"/>
      <c r="AY40" s="59"/>
      <c r="AZ40" s="59"/>
      <c r="BA40" s="59"/>
    </row>
    <row r="41" spans="2:53" x14ac:dyDescent="0.25">
      <c r="B41" s="87" t="s">
        <v>201</v>
      </c>
      <c r="C41" t="s">
        <v>65</v>
      </c>
      <c r="F41" s="122">
        <v>0</v>
      </c>
      <c r="G41" s="19"/>
      <c r="H41" s="19">
        <v>0</v>
      </c>
      <c r="I41" s="19"/>
      <c r="J41" s="123">
        <v>0</v>
      </c>
      <c r="K41" s="19"/>
      <c r="L41" s="122">
        <v>0</v>
      </c>
      <c r="M41" s="19"/>
      <c r="N41" s="19">
        <f t="shared" si="8"/>
        <v>0</v>
      </c>
      <c r="O41" s="19"/>
      <c r="P41" s="19">
        <f t="shared" si="7"/>
        <v>0</v>
      </c>
      <c r="Q41" s="239"/>
      <c r="R41" s="123">
        <v>0</v>
      </c>
      <c r="T41" s="212">
        <f t="shared" si="9"/>
        <v>0</v>
      </c>
      <c r="AJ41" s="59"/>
      <c r="AK41" s="59"/>
      <c r="AL41" s="59"/>
      <c r="AM41" s="96"/>
      <c r="AN41" s="94"/>
      <c r="AO41" s="94"/>
      <c r="AP41" s="90"/>
      <c r="AQ41" t="e">
        <f>+AP41*#REF!</f>
        <v>#REF!</v>
      </c>
      <c r="AR41" s="90"/>
      <c r="AS41" s="98" t="e">
        <f t="shared" si="5"/>
        <v>#REF!</v>
      </c>
      <c r="AT41" s="98" t="e">
        <f t="shared" si="6"/>
        <v>#REF!</v>
      </c>
      <c r="AU41" s="59"/>
      <c r="AV41" s="59"/>
      <c r="AW41" s="59"/>
      <c r="AX41" s="59"/>
      <c r="AY41" s="59"/>
      <c r="AZ41" s="59"/>
      <c r="BA41" s="59"/>
    </row>
    <row r="42" spans="2:53" x14ac:dyDescent="0.25">
      <c r="B42" s="87" t="s">
        <v>202</v>
      </c>
      <c r="C42" t="s">
        <v>66</v>
      </c>
      <c r="F42" s="122">
        <v>0</v>
      </c>
      <c r="G42" s="19"/>
      <c r="H42" s="19">
        <v>0</v>
      </c>
      <c r="I42" s="19"/>
      <c r="J42" s="123">
        <v>0</v>
      </c>
      <c r="K42" s="19"/>
      <c r="L42" s="122">
        <v>0</v>
      </c>
      <c r="M42" s="19"/>
      <c r="N42" s="19">
        <f t="shared" si="8"/>
        <v>0</v>
      </c>
      <c r="O42" s="19"/>
      <c r="P42" s="19">
        <f t="shared" si="7"/>
        <v>0</v>
      </c>
      <c r="Q42" s="239"/>
      <c r="R42" s="123">
        <v>0</v>
      </c>
      <c r="T42" s="212">
        <f t="shared" si="9"/>
        <v>0</v>
      </c>
      <c r="AJ42" s="59"/>
      <c r="AK42" s="59"/>
      <c r="AL42" s="59"/>
      <c r="AM42" s="96"/>
      <c r="AN42" s="94"/>
      <c r="AO42" s="94"/>
      <c r="AP42" s="90"/>
      <c r="AQ42" t="e">
        <f>+AP42*#REF!</f>
        <v>#REF!</v>
      </c>
      <c r="AR42" s="90"/>
      <c r="AS42" s="98" t="e">
        <f t="shared" si="5"/>
        <v>#REF!</v>
      </c>
      <c r="AT42" s="98" t="e">
        <f t="shared" si="6"/>
        <v>#REF!</v>
      </c>
      <c r="AU42" s="59"/>
      <c r="AV42" s="59"/>
      <c r="AW42" s="59"/>
      <c r="AX42" s="59"/>
      <c r="AY42" s="59"/>
      <c r="AZ42" s="59"/>
      <c r="BA42" s="59"/>
    </row>
    <row r="43" spans="2:53" ht="14.45" customHeight="1" x14ac:dyDescent="0.25">
      <c r="B43" s="87" t="s">
        <v>203</v>
      </c>
      <c r="C43" t="s">
        <v>67</v>
      </c>
      <c r="F43" s="131">
        <v>0</v>
      </c>
      <c r="G43" s="19"/>
      <c r="H43" s="132">
        <v>0</v>
      </c>
      <c r="I43" s="19"/>
      <c r="J43" s="133">
        <v>0</v>
      </c>
      <c r="K43" s="19"/>
      <c r="L43" s="131">
        <v>0</v>
      </c>
      <c r="M43" s="19"/>
      <c r="N43" s="132">
        <v>0</v>
      </c>
      <c r="O43" s="19"/>
      <c r="P43" s="132">
        <f t="shared" si="7"/>
        <v>0</v>
      </c>
      <c r="Q43" s="239"/>
      <c r="R43" s="133">
        <v>0</v>
      </c>
      <c r="T43" s="212">
        <f t="shared" si="9"/>
        <v>0</v>
      </c>
      <c r="AJ43" s="59"/>
      <c r="AK43" s="59"/>
      <c r="AL43" s="59"/>
      <c r="AM43" s="96"/>
      <c r="AN43" s="94"/>
      <c r="AO43" s="94"/>
      <c r="AP43" s="90"/>
      <c r="AQ43" t="e">
        <f>+AP43*#REF!</f>
        <v>#REF!</v>
      </c>
      <c r="AR43" s="90"/>
      <c r="AS43" s="98" t="e">
        <f t="shared" si="5"/>
        <v>#REF!</v>
      </c>
      <c r="AT43" s="98" t="e">
        <f t="shared" si="6"/>
        <v>#REF!</v>
      </c>
      <c r="AU43" s="59"/>
      <c r="AV43" s="59"/>
      <c r="AW43" s="59"/>
      <c r="AX43" s="59"/>
      <c r="AY43" s="59"/>
      <c r="AZ43" s="59"/>
      <c r="BA43" s="59"/>
    </row>
    <row r="44" spans="2:53" x14ac:dyDescent="0.25">
      <c r="B44" s="7" t="s">
        <v>50</v>
      </c>
      <c r="F44" s="122">
        <f>SUM(F34:F43)</f>
        <v>863852</v>
      </c>
      <c r="G44" s="19"/>
      <c r="H44" s="19">
        <f>SUM(H34:H43)</f>
        <v>662939</v>
      </c>
      <c r="I44" s="19"/>
      <c r="J44" s="123">
        <f>SUM(J34:J43)</f>
        <v>424073</v>
      </c>
      <c r="K44" s="19"/>
      <c r="L44" s="122">
        <f>SUM(L35:L43)</f>
        <v>335506</v>
      </c>
      <c r="M44" s="19"/>
      <c r="N44" s="19">
        <f>SUM(N35:N43)</f>
        <v>335506</v>
      </c>
      <c r="O44" s="19"/>
      <c r="P44" s="19">
        <f>SUM(P35:P43)</f>
        <v>2050</v>
      </c>
      <c r="Q44" s="239"/>
      <c r="R44" s="123">
        <f>SUM(R34:R43)</f>
        <v>337556</v>
      </c>
      <c r="AJ44" s="59"/>
      <c r="AK44" s="59"/>
      <c r="AL44" s="59"/>
      <c r="AM44" s="96"/>
      <c r="AN44" s="94"/>
      <c r="AO44" s="94"/>
      <c r="AP44" s="90"/>
      <c r="AQ44" t="e">
        <f>+AP44*#REF!</f>
        <v>#REF!</v>
      </c>
      <c r="AR44" s="90"/>
      <c r="AS44" s="98" t="e">
        <f t="shared" si="5"/>
        <v>#REF!</v>
      </c>
      <c r="AT44" s="98" t="e">
        <f t="shared" si="6"/>
        <v>#REF!</v>
      </c>
      <c r="AU44" s="59"/>
      <c r="AV44" s="59"/>
      <c r="AW44" s="59"/>
      <c r="AX44" s="59"/>
      <c r="AY44" s="59"/>
      <c r="AZ44" s="59"/>
      <c r="BA44" s="59"/>
    </row>
    <row r="45" spans="2:53" x14ac:dyDescent="0.25">
      <c r="F45" s="122"/>
      <c r="G45" s="19"/>
      <c r="H45" s="19"/>
      <c r="I45" s="19"/>
      <c r="J45" s="123"/>
      <c r="K45" s="19"/>
      <c r="L45" s="122"/>
      <c r="M45" s="19"/>
      <c r="N45" s="19"/>
      <c r="O45" s="19"/>
      <c r="P45" s="19"/>
      <c r="Q45" s="239"/>
      <c r="R45" s="123"/>
      <c r="AJ45" s="59"/>
      <c r="AK45" s="59"/>
      <c r="AL45" s="59"/>
      <c r="AM45" s="96"/>
      <c r="AN45" s="94"/>
      <c r="AO45" s="94"/>
      <c r="AP45" s="90"/>
      <c r="AQ45" t="e">
        <f>+AP45*#REF!</f>
        <v>#REF!</v>
      </c>
      <c r="AR45" s="90"/>
      <c r="AS45" s="98" t="e">
        <f t="shared" si="5"/>
        <v>#REF!</v>
      </c>
      <c r="AT45" s="98" t="e">
        <f t="shared" si="6"/>
        <v>#REF!</v>
      </c>
      <c r="AU45" s="59"/>
      <c r="AV45" s="59"/>
      <c r="AW45" s="59"/>
      <c r="AX45" s="59"/>
      <c r="AY45" s="59"/>
      <c r="AZ45" s="59"/>
      <c r="BA45" s="59"/>
    </row>
    <row r="46" spans="2:53" ht="15.75" thickBot="1" x14ac:dyDescent="0.3">
      <c r="D46" s="53" t="s">
        <v>193</v>
      </c>
      <c r="F46" s="134">
        <f>+F32-F44</f>
        <v>0.41999999992549419</v>
      </c>
      <c r="G46" s="135"/>
      <c r="H46" s="208">
        <f>+H32-H44</f>
        <v>0</v>
      </c>
      <c r="I46" s="135"/>
      <c r="J46" s="136">
        <f>+J32-J44</f>
        <v>0</v>
      </c>
      <c r="K46" s="135"/>
      <c r="L46" s="134">
        <f>+L32-L44</f>
        <v>0</v>
      </c>
      <c r="M46" s="135"/>
      <c r="N46" s="135">
        <f>+N32-N44</f>
        <v>0</v>
      </c>
      <c r="O46" s="135"/>
      <c r="P46" s="135">
        <f>+P32-P44</f>
        <v>50000</v>
      </c>
      <c r="Q46" s="243"/>
      <c r="R46" s="136">
        <f>+R32-R44</f>
        <v>0</v>
      </c>
      <c r="AJ46" s="59"/>
      <c r="AK46" s="59"/>
      <c r="AL46" s="59"/>
      <c r="AM46" s="96"/>
      <c r="AN46" s="94"/>
      <c r="AO46" s="94"/>
      <c r="AP46" s="90"/>
      <c r="AQ46" t="e">
        <f>+AP46*#REF!</f>
        <v>#REF!</v>
      </c>
      <c r="AR46" s="90"/>
      <c r="AS46" s="98" t="e">
        <f t="shared" si="5"/>
        <v>#REF!</v>
      </c>
      <c r="AT46" s="98" t="e">
        <f t="shared" si="6"/>
        <v>#REF!</v>
      </c>
      <c r="AU46" s="59"/>
      <c r="AV46" s="59"/>
      <c r="AW46" s="59"/>
      <c r="AX46" s="59"/>
      <c r="AY46" s="59"/>
      <c r="AZ46" s="59"/>
      <c r="BA46" s="59"/>
    </row>
    <row r="47" spans="2:53" ht="15.75" thickTop="1" x14ac:dyDescent="0.25">
      <c r="F47" s="122"/>
      <c r="G47" s="19"/>
      <c r="H47" s="19"/>
      <c r="I47" s="19"/>
      <c r="J47" s="123"/>
      <c r="K47" s="19"/>
      <c r="L47" s="122"/>
      <c r="M47" s="19"/>
      <c r="N47" s="19"/>
      <c r="O47" s="19"/>
      <c r="P47" s="19"/>
      <c r="Q47" s="239"/>
      <c r="R47" s="123"/>
      <c r="AJ47" s="59"/>
      <c r="AK47" s="59"/>
      <c r="AL47" s="59"/>
      <c r="AM47" s="96"/>
      <c r="AN47" s="94"/>
      <c r="AO47" s="94"/>
      <c r="AP47" s="90"/>
      <c r="AQ47" t="e">
        <f>+AP47*#REF!</f>
        <v>#REF!</v>
      </c>
      <c r="AR47" s="90"/>
      <c r="AS47" s="98" t="e">
        <f t="shared" si="5"/>
        <v>#REF!</v>
      </c>
      <c r="AT47" s="98" t="e">
        <f t="shared" si="6"/>
        <v>#REF!</v>
      </c>
      <c r="AU47" s="59"/>
      <c r="AV47" s="59"/>
      <c r="AW47" s="59"/>
      <c r="AX47" s="59"/>
      <c r="AY47" s="59"/>
      <c r="AZ47" s="59"/>
      <c r="BA47" s="59"/>
    </row>
    <row r="48" spans="2:53" x14ac:dyDescent="0.25">
      <c r="B48" s="7" t="s">
        <v>53</v>
      </c>
      <c r="F48" s="122"/>
      <c r="G48" s="19"/>
      <c r="H48" s="19"/>
      <c r="I48" s="19"/>
      <c r="J48" s="123"/>
      <c r="K48" s="19"/>
      <c r="L48" s="122"/>
      <c r="M48" s="19"/>
      <c r="N48" s="19"/>
      <c r="O48" s="19"/>
      <c r="P48" s="19"/>
      <c r="Q48" s="239"/>
      <c r="R48" s="123"/>
      <c r="AJ48" s="59"/>
      <c r="AK48" s="59"/>
      <c r="AL48" s="59"/>
      <c r="AM48" s="96"/>
      <c r="AN48" s="94"/>
      <c r="AO48" s="94"/>
      <c r="AP48" s="90"/>
      <c r="AR48" s="90"/>
      <c r="AS48" s="98"/>
      <c r="AT48" s="98"/>
      <c r="AU48" s="59"/>
      <c r="AV48" s="59"/>
      <c r="AW48" s="59"/>
      <c r="AX48" s="59"/>
      <c r="AY48" s="59"/>
      <c r="AZ48" s="59"/>
      <c r="BA48" s="59"/>
    </row>
    <row r="49" spans="2:53" x14ac:dyDescent="0.25">
      <c r="C49" t="s">
        <v>211</v>
      </c>
      <c r="F49" s="131">
        <f>F9+F46</f>
        <v>0.41999999992549419</v>
      </c>
      <c r="G49" s="132"/>
      <c r="H49" s="209">
        <f>H9+H46</f>
        <v>0</v>
      </c>
      <c r="I49" s="132"/>
      <c r="J49" s="133">
        <f>J9+J46</f>
        <v>0</v>
      </c>
      <c r="K49" s="19"/>
      <c r="L49" s="131">
        <f>+L9+L32-L44</f>
        <v>0</v>
      </c>
      <c r="M49" s="132"/>
      <c r="N49" s="132">
        <f>+N9+N32-N44</f>
        <v>0</v>
      </c>
      <c r="O49" s="132"/>
      <c r="P49" s="132">
        <f t="shared" ref="P49" si="10">R49-L49</f>
        <v>0</v>
      </c>
      <c r="Q49" s="239"/>
      <c r="R49" s="133">
        <f>+R9+R32-R44</f>
        <v>0</v>
      </c>
      <c r="AJ49" s="59"/>
      <c r="AK49" s="59"/>
      <c r="AL49" s="59"/>
      <c r="AM49" s="96"/>
      <c r="AN49" s="94"/>
      <c r="AO49" s="94"/>
      <c r="AP49" s="90"/>
      <c r="AR49" s="90"/>
      <c r="AS49" s="98"/>
      <c r="AT49" s="98"/>
      <c r="AU49" s="59"/>
      <c r="AV49" s="59"/>
      <c r="AW49" s="59"/>
      <c r="AX49" s="59"/>
      <c r="AY49" s="59"/>
      <c r="AZ49" s="59"/>
      <c r="BA49" s="59"/>
    </row>
    <row r="50" spans="2:53" ht="15.75" thickBot="1" x14ac:dyDescent="0.3">
      <c r="B50" s="7" t="s">
        <v>137</v>
      </c>
      <c r="F50" s="144">
        <f>SUM(F48:F49)</f>
        <v>0.41999999992549419</v>
      </c>
      <c r="G50" s="145"/>
      <c r="H50" s="145">
        <f>SUM(H48:H49)</f>
        <v>0</v>
      </c>
      <c r="I50" s="145"/>
      <c r="J50" s="139">
        <f>SUM(J48:J49)</f>
        <v>0</v>
      </c>
      <c r="K50" s="19"/>
      <c r="L50" s="137">
        <f>SUM(L48:L49)</f>
        <v>0</v>
      </c>
      <c r="M50" s="138"/>
      <c r="N50" s="138">
        <f>SUM(N48:N49)</f>
        <v>0</v>
      </c>
      <c r="O50" s="138"/>
      <c r="P50" s="138">
        <f>SUM(P48:P49)</f>
        <v>0</v>
      </c>
      <c r="Q50" s="239"/>
      <c r="R50" s="140">
        <f>SUM(R48:R49)</f>
        <v>0</v>
      </c>
      <c r="V50" t="s">
        <v>371</v>
      </c>
      <c r="AJ50" s="59"/>
      <c r="AK50" s="59"/>
      <c r="AL50" s="59"/>
      <c r="AM50" s="96"/>
      <c r="AN50" s="94"/>
      <c r="AO50" s="94"/>
      <c r="AP50" s="90"/>
      <c r="AQ50" t="e">
        <f>+AP50*#REF!</f>
        <v>#REF!</v>
      </c>
      <c r="AR50" s="90"/>
      <c r="AS50" s="98" t="e">
        <f t="shared" si="5"/>
        <v>#REF!</v>
      </c>
      <c r="AT50" s="98" t="e">
        <f t="shared" si="6"/>
        <v>#REF!</v>
      </c>
      <c r="AU50" s="59"/>
      <c r="AV50" s="59"/>
      <c r="AW50" s="59"/>
      <c r="AX50" s="59"/>
      <c r="AY50" s="59"/>
      <c r="AZ50" s="59"/>
      <c r="BA50" s="59"/>
    </row>
    <row r="51" spans="2:53" ht="15.75" thickBot="1" x14ac:dyDescent="0.3">
      <c r="F51" s="105"/>
      <c r="G51" s="105"/>
      <c r="H51" s="105"/>
      <c r="I51" s="105"/>
      <c r="J51" s="53"/>
      <c r="K51" s="105"/>
      <c r="L51" s="105"/>
      <c r="M51" s="105"/>
      <c r="N51" s="105"/>
      <c r="O51" s="105"/>
      <c r="P51" s="105"/>
      <c r="Q51" s="105"/>
      <c r="R51" s="105"/>
      <c r="AJ51" s="59"/>
      <c r="AK51" s="59"/>
      <c r="AL51" s="59"/>
      <c r="AM51" s="96"/>
      <c r="AN51" s="94"/>
      <c r="AO51" s="94"/>
      <c r="AP51" s="90"/>
      <c r="AQ51" t="e">
        <f>+AP51*#REF!</f>
        <v>#REF!</v>
      </c>
      <c r="AR51" s="90"/>
      <c r="AS51" s="98" t="e">
        <f t="shared" si="5"/>
        <v>#REF!</v>
      </c>
      <c r="AT51" s="98" t="e">
        <f t="shared" si="6"/>
        <v>#REF!</v>
      </c>
      <c r="AU51" s="59"/>
      <c r="AV51" s="59"/>
      <c r="AW51" s="59"/>
      <c r="AX51" s="59"/>
      <c r="AY51" s="59"/>
      <c r="AZ51" s="59"/>
      <c r="BA51" s="59"/>
    </row>
    <row r="52" spans="2:53" ht="15.75" thickBot="1" x14ac:dyDescent="0.3">
      <c r="F52" s="105"/>
      <c r="G52" s="105"/>
      <c r="H52" s="105"/>
      <c r="I52" s="105"/>
      <c r="J52" s="53" t="s">
        <v>268</v>
      </c>
      <c r="K52" s="105"/>
      <c r="L52" s="143">
        <f>+L50+L44</f>
        <v>335506</v>
      </c>
      <c r="M52" s="88"/>
      <c r="N52" s="88"/>
      <c r="O52" s="88"/>
      <c r="P52" s="88"/>
      <c r="Q52" s="105"/>
      <c r="R52" s="143">
        <f>+R50+R44</f>
        <v>337556</v>
      </c>
      <c r="AJ52" s="59"/>
      <c r="AK52" s="59"/>
      <c r="AL52" s="59"/>
      <c r="AM52" s="96"/>
      <c r="AN52" s="94"/>
      <c r="AO52" s="94"/>
      <c r="AP52" s="90"/>
      <c r="AQ52" t="e">
        <f>+AP52*#REF!</f>
        <v>#REF!</v>
      </c>
      <c r="AR52" s="90"/>
      <c r="AS52" s="98" t="e">
        <f t="shared" si="5"/>
        <v>#REF!</v>
      </c>
      <c r="AT52" s="98" t="e">
        <f t="shared" si="6"/>
        <v>#REF!</v>
      </c>
      <c r="AU52" s="59"/>
      <c r="AV52" s="59"/>
      <c r="AW52" s="59"/>
      <c r="AX52" s="59"/>
      <c r="AY52" s="59"/>
      <c r="AZ52" s="59"/>
      <c r="BA52" s="59"/>
    </row>
    <row r="53" spans="2:53" x14ac:dyDescent="0.2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AJ53" s="59"/>
      <c r="AK53" s="59"/>
      <c r="AL53" s="59"/>
      <c r="AM53" s="96"/>
      <c r="AN53" s="94"/>
      <c r="AO53" s="94"/>
      <c r="AP53" s="90"/>
      <c r="AQ53" t="e">
        <f>+AP53*#REF!</f>
        <v>#REF!</v>
      </c>
      <c r="AR53" s="90"/>
      <c r="AS53" s="98" t="e">
        <f t="shared" si="5"/>
        <v>#REF!</v>
      </c>
      <c r="AT53" s="98" t="e">
        <f t="shared" si="6"/>
        <v>#REF!</v>
      </c>
      <c r="AU53" s="59"/>
      <c r="AV53" s="59"/>
      <c r="AW53" s="59"/>
      <c r="AX53" s="59"/>
      <c r="AY53" s="59"/>
      <c r="AZ53" s="59"/>
      <c r="BA53" s="59"/>
    </row>
    <row r="54" spans="2:53" hidden="1" x14ac:dyDescent="0.25">
      <c r="B54" s="51" t="s">
        <v>79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AJ54" s="59"/>
      <c r="AK54" s="59"/>
      <c r="AL54" s="59"/>
      <c r="AM54" s="96"/>
      <c r="AN54" s="94"/>
      <c r="AO54" s="94"/>
      <c r="AP54" s="90"/>
      <c r="AQ54" t="e">
        <f>+AP54*#REF!</f>
        <v>#REF!</v>
      </c>
      <c r="AR54" s="90"/>
      <c r="AS54" s="98" t="e">
        <f t="shared" ref="AS54:AS56" si="11">AQ54+AR54</f>
        <v>#REF!</v>
      </c>
      <c r="AT54" s="98" t="e">
        <f t="shared" ref="AT54:AT56" si="12">+AS54+AP54</f>
        <v>#REF!</v>
      </c>
      <c r="AU54" s="59"/>
      <c r="AV54" s="59"/>
      <c r="AW54" s="59"/>
      <c r="AX54" s="59"/>
      <c r="AY54" s="59"/>
      <c r="AZ54" s="59"/>
      <c r="BA54" s="59"/>
    </row>
    <row r="55" spans="2:53" hidden="1" x14ac:dyDescent="0.25">
      <c r="B55" s="87" t="s">
        <v>205</v>
      </c>
      <c r="C55" t="s">
        <v>71</v>
      </c>
      <c r="F55" s="106"/>
      <c r="G55" s="107"/>
      <c r="H55" s="107"/>
      <c r="I55" s="107"/>
      <c r="J55" s="108"/>
      <c r="K55" s="5"/>
      <c r="L55" s="106"/>
      <c r="M55" s="107"/>
      <c r="N55" s="107"/>
      <c r="O55" s="107"/>
      <c r="P55" s="107">
        <f>R55-L55</f>
        <v>0</v>
      </c>
      <c r="Q55" s="5"/>
      <c r="R55" s="108"/>
      <c r="AJ55" s="59"/>
      <c r="AK55" s="59"/>
      <c r="AL55" s="59"/>
      <c r="AM55" s="96"/>
      <c r="AN55" s="94"/>
      <c r="AO55" s="94"/>
      <c r="AP55" s="90"/>
      <c r="AQ55" t="e">
        <f>+AP55*#REF!</f>
        <v>#REF!</v>
      </c>
      <c r="AR55" s="90"/>
      <c r="AS55" s="98" t="e">
        <f t="shared" ref="AS55" si="13">AQ55+AR55</f>
        <v>#REF!</v>
      </c>
      <c r="AT55" s="98" t="e">
        <f t="shared" ref="AT55" si="14">+AS55+AP55</f>
        <v>#REF!</v>
      </c>
      <c r="AU55" s="59"/>
      <c r="AV55" s="59"/>
      <c r="AW55" s="59"/>
      <c r="AX55" s="59"/>
      <c r="AY55" s="59"/>
      <c r="AZ55" s="59"/>
      <c r="BA55" s="59"/>
    </row>
    <row r="56" spans="2:53" hidden="1" x14ac:dyDescent="0.25">
      <c r="B56" s="87" t="s">
        <v>206</v>
      </c>
      <c r="C56" t="s">
        <v>80</v>
      </c>
      <c r="F56" s="55"/>
      <c r="G56" s="56"/>
      <c r="H56" s="56"/>
      <c r="I56" s="56"/>
      <c r="J56" s="57"/>
      <c r="K56" s="5"/>
      <c r="L56" s="55"/>
      <c r="M56" s="56"/>
      <c r="N56" s="56"/>
      <c r="O56" s="56"/>
      <c r="P56" s="56">
        <f>R56-L56</f>
        <v>0</v>
      </c>
      <c r="Q56" s="5"/>
      <c r="R56" s="57"/>
      <c r="AJ56" s="59"/>
      <c r="AK56" s="59"/>
      <c r="AL56" s="59"/>
      <c r="AM56" s="96"/>
      <c r="AN56" s="94"/>
      <c r="AO56" s="94"/>
      <c r="AP56" s="90"/>
      <c r="AQ56" t="e">
        <f>+AP56*#REF!</f>
        <v>#REF!</v>
      </c>
      <c r="AR56" s="90"/>
      <c r="AS56" s="98" t="e">
        <f t="shared" si="11"/>
        <v>#REF!</v>
      </c>
      <c r="AT56" s="98" t="e">
        <f t="shared" si="12"/>
        <v>#REF!</v>
      </c>
      <c r="AU56" s="59"/>
      <c r="AV56" s="59"/>
      <c r="AW56" s="59"/>
      <c r="AX56" s="59"/>
      <c r="AY56" s="59"/>
      <c r="AZ56" s="59"/>
      <c r="BA56" s="59"/>
    </row>
    <row r="57" spans="2:53" hidden="1" x14ac:dyDescent="0.25">
      <c r="B57" s="87" t="s">
        <v>207</v>
      </c>
      <c r="C57" t="s">
        <v>81</v>
      </c>
      <c r="F57" s="55"/>
      <c r="G57" s="56"/>
      <c r="H57" s="56"/>
      <c r="I57" s="56"/>
      <c r="J57" s="57"/>
      <c r="K57" s="5"/>
      <c r="L57" s="55"/>
      <c r="M57" s="56"/>
      <c r="N57" s="56"/>
      <c r="O57" s="56"/>
      <c r="P57" s="56">
        <f t="shared" ref="P57:P60" si="15">R57-L57</f>
        <v>0</v>
      </c>
      <c r="Q57" s="5"/>
      <c r="R57" s="57"/>
      <c r="AL57" s="59"/>
      <c r="AM57" s="96"/>
      <c r="AN57" s="94"/>
      <c r="AO57" s="94"/>
      <c r="AP57" s="90"/>
      <c r="AQ57" t="e">
        <f>+AP57*#REF!</f>
        <v>#REF!</v>
      </c>
      <c r="AR57" s="90"/>
      <c r="AS57" s="98" t="e">
        <f t="shared" si="5"/>
        <v>#REF!</v>
      </c>
      <c r="AT57" s="98" t="e">
        <f t="shared" si="6"/>
        <v>#REF!</v>
      </c>
    </row>
    <row r="58" spans="2:53" hidden="1" x14ac:dyDescent="0.25">
      <c r="B58" s="87" t="s">
        <v>208</v>
      </c>
      <c r="C58" t="s">
        <v>82</v>
      </c>
      <c r="F58" s="55"/>
      <c r="G58" s="56"/>
      <c r="H58" s="56"/>
      <c r="I58" s="56"/>
      <c r="J58" s="57"/>
      <c r="K58" s="5"/>
      <c r="L58" s="55"/>
      <c r="M58" s="56"/>
      <c r="N58" s="56"/>
      <c r="O58" s="56"/>
      <c r="P58" s="56">
        <f t="shared" si="15"/>
        <v>0</v>
      </c>
      <c r="Q58" s="5"/>
      <c r="R58" s="57"/>
      <c r="AL58" s="59"/>
      <c r="AM58" s="96"/>
      <c r="AN58" s="94"/>
      <c r="AO58" s="94"/>
      <c r="AP58" s="90"/>
      <c r="AQ58" t="e">
        <f>+AP58*#REF!</f>
        <v>#REF!</v>
      </c>
      <c r="AR58" s="90"/>
      <c r="AS58" s="98" t="e">
        <f t="shared" si="5"/>
        <v>#REF!</v>
      </c>
      <c r="AT58" s="98" t="e">
        <f t="shared" si="6"/>
        <v>#REF!</v>
      </c>
    </row>
    <row r="59" spans="2:53" hidden="1" x14ac:dyDescent="0.25">
      <c r="B59" s="87" t="s">
        <v>209</v>
      </c>
      <c r="C59" t="s">
        <v>85</v>
      </c>
      <c r="F59" s="55"/>
      <c r="G59" s="56"/>
      <c r="H59" s="56"/>
      <c r="I59" s="56"/>
      <c r="J59" s="57"/>
      <c r="K59" s="5"/>
      <c r="L59" s="55"/>
      <c r="M59" s="56"/>
      <c r="N59" s="56"/>
      <c r="O59" s="56"/>
      <c r="P59" s="56">
        <f t="shared" si="15"/>
        <v>0</v>
      </c>
      <c r="Q59" s="5"/>
      <c r="R59" s="57"/>
      <c r="AL59" s="51" t="s">
        <v>239</v>
      </c>
      <c r="AM59" s="113">
        <f>SUM(AM29:AM58)</f>
        <v>0</v>
      </c>
      <c r="AN59" s="114"/>
      <c r="AO59" s="114"/>
      <c r="AP59" s="115">
        <f>SUM(AP29:AP58)</f>
        <v>0</v>
      </c>
      <c r="AQ59" s="115" t="e">
        <f>SUM(AQ29:AQ58)</f>
        <v>#REF!</v>
      </c>
      <c r="AR59" s="115">
        <f>SUM(AR29:AR58)</f>
        <v>0</v>
      </c>
      <c r="AS59" s="115" t="e">
        <f>SUM(AS29:AS58)</f>
        <v>#REF!</v>
      </c>
      <c r="AT59" s="115" t="e">
        <f>SUM(AT29:AT58)</f>
        <v>#REF!</v>
      </c>
    </row>
    <row r="60" spans="2:53" hidden="1" x14ac:dyDescent="0.25">
      <c r="B60" s="87" t="s">
        <v>210</v>
      </c>
      <c r="C60" t="s">
        <v>83</v>
      </c>
      <c r="F60" s="109"/>
      <c r="G60" s="56"/>
      <c r="H60" s="110"/>
      <c r="I60" s="56"/>
      <c r="J60" s="111"/>
      <c r="K60" s="5"/>
      <c r="L60" s="109"/>
      <c r="M60" s="56"/>
      <c r="N60" s="110"/>
      <c r="O60" s="56"/>
      <c r="P60" s="110">
        <f t="shared" si="15"/>
        <v>0</v>
      </c>
      <c r="Q60" s="5"/>
      <c r="R60" s="111"/>
    </row>
    <row r="61" spans="2:53" ht="15.75" hidden="1" thickBot="1" x14ac:dyDescent="0.3">
      <c r="B61"/>
      <c r="D61" t="s">
        <v>84</v>
      </c>
      <c r="F61" s="119">
        <f>SUM(F55:F60)</f>
        <v>0</v>
      </c>
      <c r="G61" s="120"/>
      <c r="H61" s="120">
        <f>SUM(H55:H60)</f>
        <v>0</v>
      </c>
      <c r="I61" s="120"/>
      <c r="J61" s="121">
        <f>SUM(J55:J60)</f>
        <v>0</v>
      </c>
      <c r="K61" s="5"/>
      <c r="L61" s="119">
        <f>SUM(L55:L60)</f>
        <v>0</v>
      </c>
      <c r="M61" s="120"/>
      <c r="N61" s="120">
        <f>SUM(N55:N60)</f>
        <v>0</v>
      </c>
      <c r="O61" s="120"/>
      <c r="P61" s="120">
        <f>SUM(P55:P60)</f>
        <v>0</v>
      </c>
      <c r="Q61" s="5"/>
      <c r="R61" s="121">
        <f>SUM(R55:R60)</f>
        <v>0</v>
      </c>
    </row>
    <row r="62" spans="2:53" hidden="1" x14ac:dyDescent="0.25"/>
  </sheetData>
  <mergeCells count="4">
    <mergeCell ref="W25:AC25"/>
    <mergeCell ref="AU25:BA25"/>
    <mergeCell ref="W26:AC26"/>
    <mergeCell ref="AU26:BA26"/>
  </mergeCells>
  <pageMargins left="0.27" right="0.25" top="0.43" bottom="0.4" header="0.3" footer="0.17"/>
  <pageSetup scale="73" orientation="portrait" r:id="rId1"/>
  <headerFooter>
    <oddFooter>&amp;L&amp;D &amp;F&amp;C24
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pageSetUpPr fitToPage="1"/>
  </sheetPr>
  <dimension ref="A1:AZ46"/>
  <sheetViews>
    <sheetView workbookViewId="0">
      <selection activeCell="C3" sqref="C3"/>
    </sheetView>
  </sheetViews>
  <sheetFormatPr defaultRowHeight="15" x14ac:dyDescent="0.25"/>
  <cols>
    <col min="1" max="1" width="2.42578125" customWidth="1"/>
    <col min="2" max="2" width="7.140625" style="7" customWidth="1"/>
    <col min="3" max="3" width="4.140625" customWidth="1"/>
    <col min="4" max="4" width="26.85546875" customWidth="1"/>
    <col min="5" max="5" width="0.85546875" customWidth="1"/>
    <col min="6" max="6" width="17.42578125" customWidth="1"/>
    <col min="7" max="7" width="1.28515625" customWidth="1"/>
    <col min="8" max="8" width="17.42578125" customWidth="1"/>
    <col min="9" max="9" width="1.28515625" customWidth="1"/>
    <col min="10" max="10" width="17.42578125" customWidth="1"/>
    <col min="11" max="11" width="1.28515625" customWidth="1"/>
    <col min="12" max="12" width="17.42578125" customWidth="1"/>
    <col min="13" max="13" width="1.28515625" customWidth="1"/>
    <col min="14" max="14" width="17.42578125" customWidth="1"/>
    <col min="15" max="15" width="1.28515625" customWidth="1"/>
    <col min="16" max="16" width="17.42578125" customWidth="1"/>
    <col min="17" max="17" width="1.28515625" customWidth="1"/>
    <col min="18" max="18" width="17.42578125" customWidth="1"/>
    <col min="19" max="19" width="1.140625" customWidth="1"/>
    <col min="20" max="20" width="0" hidden="1" customWidth="1"/>
    <col min="21" max="21" width="0" style="92" hidden="1" customWidth="1"/>
    <col min="22" max="22" width="13.140625" hidden="1" customWidth="1"/>
    <col min="23" max="29" width="0" hidden="1" customWidth="1"/>
    <col min="30" max="30" width="24.42578125" hidden="1" customWidth="1"/>
    <col min="31" max="31" width="18" hidden="1" customWidth="1"/>
    <col min="32" max="32" width="21.42578125" hidden="1" customWidth="1"/>
    <col min="33" max="33" width="16.140625" hidden="1" customWidth="1"/>
    <col min="34" max="34" width="14.42578125" hidden="1" customWidth="1"/>
    <col min="35" max="35" width="0" hidden="1" customWidth="1"/>
    <col min="36" max="36" width="13.85546875" hidden="1" customWidth="1"/>
    <col min="37" max="41" width="0" hidden="1" customWidth="1"/>
    <col min="42" max="42" width="12.42578125" hidden="1" customWidth="1"/>
    <col min="43" max="43" width="10" hidden="1" customWidth="1"/>
    <col min="44" max="44" width="20.42578125" hidden="1" customWidth="1"/>
    <col min="45" max="45" width="18.140625" hidden="1" customWidth="1"/>
    <col min="46" max="51" width="0" hidden="1" customWidth="1"/>
    <col min="52" max="52" width="12.85546875" hidden="1" customWidth="1"/>
    <col min="53" max="54" width="0" hidden="1" customWidth="1"/>
  </cols>
  <sheetData>
    <row r="1" spans="1:52" x14ac:dyDescent="0.25">
      <c r="A1" s="3" t="str">
        <f>TOC!$A$1</f>
        <v xml:space="preserve">                  Eaton School District RE-2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99" t="s">
        <v>234</v>
      </c>
    </row>
    <row r="2" spans="1:52" x14ac:dyDescent="0.25">
      <c r="A2" s="4" t="str">
        <f>+Cover!E11</f>
        <v xml:space="preserve">     Adopted Budget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399"/>
    </row>
    <row r="3" spans="1:52" ht="16.5" thickBot="1" x14ac:dyDescent="0.3">
      <c r="A3" s="4" t="s">
        <v>258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399"/>
      <c r="W3" s="400" t="s">
        <v>173</v>
      </c>
      <c r="X3" s="400"/>
      <c r="Y3" s="400"/>
      <c r="Z3" s="400"/>
      <c r="AA3" s="400"/>
      <c r="AB3" s="400"/>
      <c r="AC3" s="400"/>
      <c r="AI3" s="59"/>
      <c r="AJ3" s="59"/>
      <c r="AK3" s="59"/>
      <c r="AL3" s="5"/>
      <c r="AM3" s="5"/>
      <c r="AN3" s="5"/>
      <c r="AO3" s="5"/>
      <c r="AT3" s="400" t="s">
        <v>173</v>
      </c>
      <c r="AU3" s="400"/>
      <c r="AV3" s="400"/>
      <c r="AW3" s="400"/>
      <c r="AX3" s="400"/>
      <c r="AY3" s="400"/>
      <c r="AZ3" s="400"/>
    </row>
    <row r="4" spans="1:52" ht="16.5" thickBot="1" x14ac:dyDescent="0.3">
      <c r="A4" s="4" t="str">
        <f>+Cover!E14</f>
        <v xml:space="preserve">                   FY 2026/27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399"/>
      <c r="W4" s="401" t="s">
        <v>273</v>
      </c>
      <c r="X4" s="401"/>
      <c r="Y4" s="401"/>
      <c r="Z4" s="401"/>
      <c r="AA4" s="401"/>
      <c r="AB4" s="401"/>
      <c r="AC4" s="401"/>
      <c r="AE4" s="70" t="e">
        <f>+#REF!</f>
        <v>#REF!</v>
      </c>
      <c r="AF4" s="70" t="e">
        <f>+#REF!</f>
        <v>#REF!</v>
      </c>
      <c r="AG4" s="70" t="e">
        <f>+#REF!</f>
        <v>#REF!</v>
      </c>
      <c r="AH4" s="70" t="e">
        <f>+#REF!</f>
        <v>#REF!</v>
      </c>
      <c r="AI4" s="104"/>
      <c r="AJ4" s="104"/>
      <c r="AK4" s="59"/>
      <c r="AL4" s="96"/>
      <c r="AM4" s="94"/>
      <c r="AN4" s="94"/>
      <c r="AO4" s="101" t="s">
        <v>238</v>
      </c>
      <c r="AP4" s="103">
        <f>+BudgetAssump!$K$23+BudgetAssump!K24</f>
        <v>0.22850000000000001</v>
      </c>
      <c r="AQ4" s="90"/>
      <c r="AR4" s="98" t="s">
        <v>236</v>
      </c>
      <c r="AS4" s="98"/>
      <c r="AT4" s="401" t="s">
        <v>272</v>
      </c>
      <c r="AU4" s="401"/>
      <c r="AV4" s="401"/>
      <c r="AW4" s="401"/>
      <c r="AX4" s="401"/>
      <c r="AY4" s="401"/>
      <c r="AZ4" s="401"/>
    </row>
    <row r="5" spans="1:52" ht="17.45" customHeight="1" thickBot="1" x14ac:dyDescent="0.3">
      <c r="F5" s="219" t="str">
        <f>'GF Summary 10'!$F$6</f>
        <v>Actuals</v>
      </c>
      <c r="G5" s="220"/>
      <c r="H5" s="220" t="str">
        <f>'GF Summary 10'!$H$6</f>
        <v>Actuals</v>
      </c>
      <c r="I5" s="220"/>
      <c r="J5" s="221" t="str">
        <f>'GF Summary 10'!$J$6</f>
        <v>Actuals</v>
      </c>
      <c r="K5" s="5"/>
      <c r="L5" s="219" t="str">
        <f>'GF Summary 10'!L6</f>
        <v>Budget</v>
      </c>
      <c r="M5" s="220">
        <f>'GF Summary 10'!M6</f>
        <v>0</v>
      </c>
      <c r="N5" s="220" t="str">
        <f>'GF Summary 10'!N6</f>
        <v>Forecast</v>
      </c>
      <c r="O5" s="220">
        <f>'GF Summary 10'!O6</f>
        <v>0</v>
      </c>
      <c r="P5" s="220" t="str">
        <f>'DPGF 22'!P5</f>
        <v>FY25 Budget v</v>
      </c>
      <c r="Q5" s="244"/>
      <c r="R5" s="221" t="str">
        <f>'GF Summary 10'!R6</f>
        <v>Adopted Budget</v>
      </c>
      <c r="S5" s="5"/>
      <c r="U5" s="399"/>
      <c r="V5" s="187" t="s">
        <v>233</v>
      </c>
      <c r="W5" s="188" t="s">
        <v>231</v>
      </c>
      <c r="X5" s="188" t="s">
        <v>231</v>
      </c>
      <c r="Y5" s="188" t="s">
        <v>231</v>
      </c>
      <c r="Z5" s="188" t="s">
        <v>231</v>
      </c>
      <c r="AA5" s="188" t="s">
        <v>231</v>
      </c>
      <c r="AB5" s="188" t="s">
        <v>231</v>
      </c>
      <c r="AC5" s="188" t="s">
        <v>231</v>
      </c>
      <c r="AD5" s="187" t="s">
        <v>233</v>
      </c>
      <c r="AE5" s="188" t="s">
        <v>232</v>
      </c>
      <c r="AF5" s="188" t="s">
        <v>232</v>
      </c>
      <c r="AG5" s="188" t="s">
        <v>232</v>
      </c>
      <c r="AH5" s="188" t="s">
        <v>232</v>
      </c>
      <c r="AI5" s="59" t="s">
        <v>231</v>
      </c>
      <c r="AJ5" s="59" t="s">
        <v>231</v>
      </c>
      <c r="AK5" s="59" t="s">
        <v>231</v>
      </c>
      <c r="AL5" s="96" t="s">
        <v>232</v>
      </c>
      <c r="AM5" s="96" t="s">
        <v>232</v>
      </c>
      <c r="AN5" s="96" t="s">
        <v>232</v>
      </c>
      <c r="AO5" s="90" t="s">
        <v>232</v>
      </c>
      <c r="AP5" s="98" t="s">
        <v>232</v>
      </c>
      <c r="AQ5" s="90" t="s">
        <v>232</v>
      </c>
      <c r="AR5" s="98" t="s">
        <v>232</v>
      </c>
      <c r="AS5" s="98"/>
      <c r="AT5" s="90" t="s">
        <v>231</v>
      </c>
      <c r="AU5" s="90" t="s">
        <v>231</v>
      </c>
      <c r="AV5" s="90" t="s">
        <v>231</v>
      </c>
      <c r="AW5" s="90" t="s">
        <v>231</v>
      </c>
      <c r="AX5" s="90" t="s">
        <v>231</v>
      </c>
      <c r="AY5" s="90" t="s">
        <v>231</v>
      </c>
      <c r="AZ5" s="59" t="s">
        <v>231</v>
      </c>
    </row>
    <row r="6" spans="1:52" ht="15.6" customHeight="1" thickBot="1" x14ac:dyDescent="0.3">
      <c r="F6" s="223" t="str">
        <f>'GF Summary 10'!$F$7</f>
        <v>FY 22-23</v>
      </c>
      <c r="G6" s="225"/>
      <c r="H6" s="225" t="str">
        <f>'GF Summary 10'!$H$7</f>
        <v>FY 23-24</v>
      </c>
      <c r="I6" s="225"/>
      <c r="J6" s="226" t="str">
        <f>'GF Summary 10'!$J$7</f>
        <v>FY 24-25</v>
      </c>
      <c r="K6" s="5"/>
      <c r="L6" s="223" t="str">
        <f>'GF Summary 10'!L7</f>
        <v>FY 25-26</v>
      </c>
      <c r="M6" s="225">
        <f>'GF Summary 10'!M7</f>
        <v>0</v>
      </c>
      <c r="N6" s="225" t="str">
        <f>'GF Summary 10'!N7</f>
        <v>FY 25-26</v>
      </c>
      <c r="O6" s="225">
        <f>'GF Summary 10'!O7</f>
        <v>0</v>
      </c>
      <c r="P6" s="228" t="str">
        <f>'DPGF 22'!P6</f>
        <v>FY 26 Budget</v>
      </c>
      <c r="Q6" s="244"/>
      <c r="R6" s="226" t="str">
        <f>'GF Summary 10'!R7</f>
        <v>FY 26-27</v>
      </c>
      <c r="S6" s="5"/>
      <c r="U6" s="399"/>
      <c r="W6" s="66" t="s">
        <v>144</v>
      </c>
      <c r="X6" s="69" t="s">
        <v>139</v>
      </c>
      <c r="Y6" s="67" t="s">
        <v>145</v>
      </c>
      <c r="Z6" s="69" t="s">
        <v>174</v>
      </c>
      <c r="AA6" s="67" t="s">
        <v>175</v>
      </c>
      <c r="AB6" s="69" t="s">
        <v>148</v>
      </c>
      <c r="AC6" s="68" t="s">
        <v>149</v>
      </c>
      <c r="AD6" s="68" t="s">
        <v>229</v>
      </c>
      <c r="AE6" s="70" t="e">
        <f>+#REF!</f>
        <v>#REF!</v>
      </c>
      <c r="AF6" s="70" t="e">
        <f>+#REF!</f>
        <v>#REF!</v>
      </c>
      <c r="AG6" s="70" t="e">
        <f>+#REF!</f>
        <v>#REF!</v>
      </c>
      <c r="AH6" s="70" t="e">
        <f>+#REF!</f>
        <v>#REF!</v>
      </c>
      <c r="AI6" s="102" t="s">
        <v>138</v>
      </c>
      <c r="AJ6" s="102" t="s">
        <v>150</v>
      </c>
      <c r="AK6" s="102" t="s">
        <v>235</v>
      </c>
      <c r="AL6" s="97" t="s">
        <v>140</v>
      </c>
      <c r="AM6" s="95" t="s">
        <v>141</v>
      </c>
      <c r="AN6" s="95" t="s">
        <v>142</v>
      </c>
      <c r="AO6" s="93" t="s">
        <v>143</v>
      </c>
      <c r="AP6" s="99" t="s">
        <v>161</v>
      </c>
      <c r="AQ6" s="93" t="s">
        <v>162</v>
      </c>
      <c r="AR6" s="99" t="s">
        <v>283</v>
      </c>
      <c r="AS6" s="99" t="s">
        <v>237</v>
      </c>
      <c r="AT6" s="58" t="s">
        <v>144</v>
      </c>
      <c r="AU6" s="58" t="s">
        <v>139</v>
      </c>
      <c r="AV6" s="58" t="s">
        <v>145</v>
      </c>
      <c r="AW6" s="58" t="s">
        <v>146</v>
      </c>
      <c r="AX6" s="58" t="s">
        <v>147</v>
      </c>
      <c r="AY6" s="58" t="s">
        <v>148</v>
      </c>
      <c r="AZ6" s="102" t="s">
        <v>149</v>
      </c>
    </row>
    <row r="7" spans="1:52" x14ac:dyDescent="0.25">
      <c r="B7" s="7" t="s">
        <v>29</v>
      </c>
      <c r="F7" s="371"/>
      <c r="G7" s="128"/>
      <c r="H7" s="217"/>
      <c r="I7" s="128"/>
      <c r="J7" s="372"/>
      <c r="K7" s="19"/>
      <c r="L7" s="371"/>
      <c r="M7" s="128"/>
      <c r="N7" s="217"/>
      <c r="O7" s="128"/>
      <c r="P7" s="128"/>
      <c r="Q7" s="239"/>
      <c r="R7" s="372"/>
      <c r="S7" s="5"/>
      <c r="U7" s="399"/>
      <c r="W7" s="59"/>
      <c r="X7" s="59"/>
      <c r="Y7" s="59"/>
      <c r="Z7" s="59"/>
      <c r="AA7" s="59"/>
      <c r="AB7" s="59"/>
      <c r="AC7" s="59"/>
      <c r="AD7" s="59"/>
      <c r="AE7" s="90"/>
      <c r="AF7" s="90"/>
      <c r="AG7" s="91"/>
      <c r="AI7" s="59"/>
      <c r="AJ7" s="59"/>
      <c r="AK7" s="59"/>
      <c r="AL7" s="96"/>
      <c r="AM7" s="94"/>
      <c r="AN7" s="94"/>
      <c r="AO7" s="90"/>
      <c r="AP7" s="98">
        <f>+AO7*AP$4</f>
        <v>0</v>
      </c>
      <c r="AQ7" s="90"/>
      <c r="AR7" s="98">
        <f>AP7+AQ7</f>
        <v>0</v>
      </c>
      <c r="AS7" s="98">
        <f>+AR7+AO7</f>
        <v>0</v>
      </c>
      <c r="AT7" s="59"/>
      <c r="AU7" s="59"/>
      <c r="AV7" s="59"/>
      <c r="AW7" s="59"/>
      <c r="AX7" s="59"/>
      <c r="AY7" s="59"/>
      <c r="AZ7" s="59"/>
    </row>
    <row r="8" spans="1:52" x14ac:dyDescent="0.25">
      <c r="C8" t="s">
        <v>211</v>
      </c>
      <c r="F8" s="131">
        <v>45386</v>
      </c>
      <c r="G8" s="19"/>
      <c r="H8" s="132">
        <v>88974</v>
      </c>
      <c r="I8" s="19"/>
      <c r="J8" s="133">
        <v>88974</v>
      </c>
      <c r="K8" s="19"/>
      <c r="L8" s="131">
        <v>29835</v>
      </c>
      <c r="M8" s="19"/>
      <c r="N8" s="132">
        <v>138681</v>
      </c>
      <c r="O8" s="19"/>
      <c r="P8" s="132">
        <f>R8-L8</f>
        <v>104316</v>
      </c>
      <c r="Q8" s="239"/>
      <c r="R8" s="133">
        <v>134151</v>
      </c>
      <c r="S8" s="5"/>
      <c r="U8" s="39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2"/>
      <c r="AI8" s="59"/>
      <c r="AJ8" s="59"/>
      <c r="AK8" s="59"/>
      <c r="AL8" s="96"/>
      <c r="AM8" s="94"/>
      <c r="AN8" s="94"/>
      <c r="AO8" s="90"/>
      <c r="AP8" s="98">
        <f t="shared" ref="AP8:AP40" si="0">+AO8*AP$4</f>
        <v>0</v>
      </c>
      <c r="AQ8" s="90"/>
      <c r="AR8" s="98">
        <f t="shared" ref="AR8:AR40" si="1">AP8+AQ8</f>
        <v>0</v>
      </c>
      <c r="AS8" s="98">
        <f t="shared" ref="AS8:AS40" si="2">+AR8+AO8</f>
        <v>0</v>
      </c>
      <c r="AT8" s="59"/>
      <c r="AU8" s="59"/>
      <c r="AV8" s="59"/>
      <c r="AW8" s="59"/>
      <c r="AX8" s="59"/>
      <c r="AY8" s="59"/>
      <c r="AZ8" s="59"/>
    </row>
    <row r="9" spans="1:52" x14ac:dyDescent="0.25">
      <c r="B9" s="7" t="s">
        <v>31</v>
      </c>
      <c r="F9" s="122">
        <f>SUM(F8:F8)</f>
        <v>45386</v>
      </c>
      <c r="G9" s="19"/>
      <c r="H9" s="19">
        <f>SUM(H8:H8)</f>
        <v>88974</v>
      </c>
      <c r="I9" s="19"/>
      <c r="J9" s="123">
        <f>SUM(J8:J8)</f>
        <v>88974</v>
      </c>
      <c r="K9" s="19"/>
      <c r="L9" s="122">
        <f>SUM(L8:L8)</f>
        <v>29835</v>
      </c>
      <c r="M9" s="19"/>
      <c r="N9" s="19">
        <f>SUM(N8:N8)</f>
        <v>138681</v>
      </c>
      <c r="O9" s="19"/>
      <c r="P9" s="19">
        <f>SUM(P8:P8)</f>
        <v>104316</v>
      </c>
      <c r="Q9" s="239"/>
      <c r="R9" s="123">
        <f>SUM(R8:R8)</f>
        <v>134151</v>
      </c>
      <c r="S9" s="5"/>
      <c r="U9" s="39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2"/>
      <c r="AI9" s="59"/>
      <c r="AJ9" s="59"/>
      <c r="AK9" s="59"/>
      <c r="AL9" s="96"/>
      <c r="AM9" s="94"/>
      <c r="AN9" s="94"/>
      <c r="AO9" s="90"/>
      <c r="AP9" s="98">
        <f t="shared" si="0"/>
        <v>0</v>
      </c>
      <c r="AQ9" s="90"/>
      <c r="AR9" s="98">
        <f t="shared" si="1"/>
        <v>0</v>
      </c>
      <c r="AS9" s="98">
        <f t="shared" si="2"/>
        <v>0</v>
      </c>
      <c r="AT9" s="59"/>
      <c r="AU9" s="59"/>
      <c r="AV9" s="59"/>
      <c r="AW9" s="59"/>
      <c r="AX9" s="59"/>
      <c r="AY9" s="59"/>
      <c r="AZ9" s="59"/>
    </row>
    <row r="10" spans="1:52" x14ac:dyDescent="0.25">
      <c r="F10" s="129"/>
      <c r="G10" s="128"/>
      <c r="H10" s="128"/>
      <c r="I10" s="128"/>
      <c r="J10" s="130"/>
      <c r="K10" s="19"/>
      <c r="L10" s="129"/>
      <c r="M10" s="128"/>
      <c r="N10" s="128"/>
      <c r="O10" s="128"/>
      <c r="P10" s="128"/>
      <c r="Q10" s="239"/>
      <c r="R10" s="130"/>
      <c r="S10" s="5"/>
      <c r="U10" s="39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2"/>
      <c r="AI10" s="59"/>
      <c r="AJ10" s="59"/>
      <c r="AK10" s="59"/>
      <c r="AL10" s="96"/>
      <c r="AM10" s="94"/>
      <c r="AN10" s="94"/>
      <c r="AO10" s="90"/>
      <c r="AP10" s="98">
        <f t="shared" si="0"/>
        <v>0</v>
      </c>
      <c r="AQ10" s="90"/>
      <c r="AR10" s="98">
        <f t="shared" si="1"/>
        <v>0</v>
      </c>
      <c r="AS10" s="98">
        <f t="shared" si="2"/>
        <v>0</v>
      </c>
      <c r="AT10" s="59"/>
      <c r="AU10" s="59"/>
      <c r="AV10" s="59"/>
      <c r="AW10" s="59"/>
      <c r="AX10" s="59"/>
      <c r="AY10" s="59"/>
      <c r="AZ10" s="59"/>
    </row>
    <row r="11" spans="1:52" x14ac:dyDescent="0.25">
      <c r="B11" s="7" t="s">
        <v>32</v>
      </c>
      <c r="F11" s="122"/>
      <c r="G11" s="19"/>
      <c r="H11" s="19"/>
      <c r="I11" s="19"/>
      <c r="J11" s="123"/>
      <c r="K11" s="19"/>
      <c r="L11" s="122"/>
      <c r="M11" s="19"/>
      <c r="N11" s="19"/>
      <c r="O11" s="19"/>
      <c r="P11" s="19"/>
      <c r="Q11" s="239"/>
      <c r="R11" s="123"/>
      <c r="U11" s="39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2"/>
      <c r="AI11" s="59"/>
      <c r="AJ11" s="59"/>
      <c r="AK11" s="59"/>
      <c r="AL11" s="96"/>
      <c r="AM11" s="94"/>
      <c r="AN11" s="94"/>
      <c r="AO11" s="90"/>
      <c r="AP11" s="98">
        <f t="shared" si="0"/>
        <v>0</v>
      </c>
      <c r="AQ11" s="90"/>
      <c r="AR11" s="98">
        <f t="shared" si="1"/>
        <v>0</v>
      </c>
      <c r="AS11" s="98">
        <f t="shared" si="2"/>
        <v>0</v>
      </c>
      <c r="AT11" s="59"/>
      <c r="AU11" s="59"/>
      <c r="AV11" s="59"/>
      <c r="AW11" s="59"/>
      <c r="AX11" s="59"/>
      <c r="AY11" s="59"/>
      <c r="AZ11" s="59"/>
    </row>
    <row r="12" spans="1:52" x14ac:dyDescent="0.25">
      <c r="B12" s="7" t="s">
        <v>246</v>
      </c>
      <c r="C12" t="s">
        <v>33</v>
      </c>
      <c r="F12" s="122">
        <v>176348</v>
      </c>
      <c r="G12" s="19"/>
      <c r="H12" s="19">
        <v>198353</v>
      </c>
      <c r="I12" s="19"/>
      <c r="J12" s="123">
        <v>198353</v>
      </c>
      <c r="K12" s="19"/>
      <c r="L12" s="122">
        <v>159555</v>
      </c>
      <c r="M12" s="19"/>
      <c r="N12" s="19">
        <v>159555</v>
      </c>
      <c r="O12" s="19"/>
      <c r="P12" s="19">
        <f t="shared" ref="P12:P15" si="3">R12-L12</f>
        <v>46420</v>
      </c>
      <c r="Q12" s="239"/>
      <c r="R12" s="123">
        <v>205975</v>
      </c>
      <c r="U12" s="39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2"/>
      <c r="AI12" s="59"/>
      <c r="AJ12" s="59"/>
      <c r="AK12" s="59"/>
      <c r="AL12" s="96"/>
      <c r="AM12" s="94"/>
      <c r="AN12" s="94"/>
      <c r="AO12" s="90"/>
      <c r="AP12" s="98">
        <f t="shared" si="0"/>
        <v>0</v>
      </c>
      <c r="AQ12" s="90"/>
      <c r="AR12" s="98">
        <f t="shared" si="1"/>
        <v>0</v>
      </c>
      <c r="AS12" s="98">
        <f t="shared" si="2"/>
        <v>0</v>
      </c>
      <c r="AT12" s="59"/>
      <c r="AU12" s="59"/>
      <c r="AV12" s="59"/>
      <c r="AW12" s="59"/>
      <c r="AX12" s="59"/>
      <c r="AY12" s="59"/>
      <c r="AZ12" s="59"/>
    </row>
    <row r="13" spans="1:52" x14ac:dyDescent="0.25">
      <c r="B13" s="7" t="s">
        <v>247</v>
      </c>
      <c r="C13" t="s">
        <v>35</v>
      </c>
      <c r="F13" s="122">
        <v>0</v>
      </c>
      <c r="G13" s="19"/>
      <c r="H13" s="19">
        <v>0</v>
      </c>
      <c r="I13" s="19"/>
      <c r="J13" s="123">
        <v>0</v>
      </c>
      <c r="K13" s="19"/>
      <c r="L13" s="122">
        <v>0</v>
      </c>
      <c r="M13" s="19"/>
      <c r="N13" s="19">
        <v>0</v>
      </c>
      <c r="O13" s="19"/>
      <c r="P13" s="19">
        <f t="shared" si="3"/>
        <v>0</v>
      </c>
      <c r="Q13" s="239"/>
      <c r="R13" s="123">
        <v>0</v>
      </c>
      <c r="U13" s="39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2"/>
      <c r="AI13" s="59"/>
      <c r="AJ13" s="59"/>
      <c r="AK13" s="59"/>
      <c r="AL13" s="96"/>
      <c r="AM13" s="94"/>
      <c r="AN13" s="94"/>
      <c r="AO13" s="90"/>
      <c r="AP13" s="98">
        <f t="shared" si="0"/>
        <v>0</v>
      </c>
      <c r="AQ13" s="90"/>
      <c r="AR13" s="98">
        <f t="shared" si="1"/>
        <v>0</v>
      </c>
      <c r="AS13" s="98">
        <f t="shared" si="2"/>
        <v>0</v>
      </c>
      <c r="AT13" s="59"/>
      <c r="AU13" s="59"/>
      <c r="AV13" s="59"/>
      <c r="AW13" s="59"/>
      <c r="AX13" s="59"/>
      <c r="AY13" s="59"/>
      <c r="AZ13" s="59"/>
    </row>
    <row r="14" spans="1:52" x14ac:dyDescent="0.25">
      <c r="B14" s="7" t="s">
        <v>248</v>
      </c>
      <c r="C14" t="s">
        <v>36</v>
      </c>
      <c r="F14" s="122">
        <v>0</v>
      </c>
      <c r="G14" s="19"/>
      <c r="H14" s="19">
        <v>0</v>
      </c>
      <c r="I14" s="19"/>
      <c r="J14" s="123">
        <v>0</v>
      </c>
      <c r="K14" s="19"/>
      <c r="L14" s="122">
        <v>0</v>
      </c>
      <c r="M14" s="19"/>
      <c r="N14" s="19">
        <v>0</v>
      </c>
      <c r="O14" s="19"/>
      <c r="P14" s="19">
        <f t="shared" si="3"/>
        <v>0</v>
      </c>
      <c r="Q14" s="239"/>
      <c r="R14" s="123">
        <v>0</v>
      </c>
      <c r="U14" s="39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2"/>
      <c r="AI14" s="59"/>
      <c r="AJ14" s="59"/>
      <c r="AK14" s="59"/>
      <c r="AL14" s="96"/>
      <c r="AM14" s="94"/>
      <c r="AN14" s="94"/>
      <c r="AO14" s="90"/>
      <c r="AP14" s="98">
        <f t="shared" si="0"/>
        <v>0</v>
      </c>
      <c r="AQ14" s="90"/>
      <c r="AR14" s="98">
        <f t="shared" si="1"/>
        <v>0</v>
      </c>
      <c r="AS14" s="98">
        <f t="shared" si="2"/>
        <v>0</v>
      </c>
      <c r="AT14" s="59"/>
      <c r="AU14" s="59"/>
      <c r="AV14" s="59"/>
      <c r="AW14" s="59"/>
      <c r="AX14" s="59"/>
      <c r="AY14" s="59"/>
      <c r="AZ14" s="59"/>
    </row>
    <row r="15" spans="1:52" x14ac:dyDescent="0.25">
      <c r="B15" s="117">
        <v>5210</v>
      </c>
      <c r="C15" t="s">
        <v>160</v>
      </c>
      <c r="F15" s="131">
        <v>0</v>
      </c>
      <c r="G15" s="19"/>
      <c r="H15" s="132">
        <v>0</v>
      </c>
      <c r="I15" s="19"/>
      <c r="J15" s="133">
        <v>0</v>
      </c>
      <c r="K15" s="19"/>
      <c r="L15" s="131">
        <v>0</v>
      </c>
      <c r="M15" s="19"/>
      <c r="N15" s="132">
        <v>0</v>
      </c>
      <c r="O15" s="19"/>
      <c r="P15" s="132">
        <f t="shared" si="3"/>
        <v>0</v>
      </c>
      <c r="Q15" s="239"/>
      <c r="R15" s="133">
        <v>0</v>
      </c>
      <c r="U15" s="39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2"/>
      <c r="AI15" s="59"/>
      <c r="AJ15" s="59"/>
      <c r="AK15" s="59"/>
      <c r="AL15" s="96"/>
      <c r="AM15" s="94"/>
      <c r="AN15" s="94"/>
      <c r="AO15" s="90"/>
      <c r="AP15" s="98">
        <f t="shared" si="0"/>
        <v>0</v>
      </c>
      <c r="AQ15" s="90"/>
      <c r="AR15" s="98">
        <f t="shared" si="1"/>
        <v>0</v>
      </c>
      <c r="AS15" s="98">
        <f t="shared" si="2"/>
        <v>0</v>
      </c>
      <c r="AT15" s="59"/>
      <c r="AU15" s="59"/>
      <c r="AV15" s="59"/>
      <c r="AW15" s="59"/>
      <c r="AX15" s="59"/>
      <c r="AY15" s="59"/>
      <c r="AZ15" s="59"/>
    </row>
    <row r="16" spans="1:52" x14ac:dyDescent="0.25">
      <c r="B16" s="7" t="s">
        <v>37</v>
      </c>
      <c r="F16" s="122">
        <f>SUM(F11:F15)</f>
        <v>176348</v>
      </c>
      <c r="G16" s="19"/>
      <c r="H16" s="19">
        <f>SUM(H11:H15)</f>
        <v>198353</v>
      </c>
      <c r="I16" s="19"/>
      <c r="J16" s="123">
        <f>SUM(J11:J15)</f>
        <v>198353</v>
      </c>
      <c r="K16" s="19"/>
      <c r="L16" s="122">
        <f>SUM(L11:L15)</f>
        <v>159555</v>
      </c>
      <c r="M16" s="19"/>
      <c r="N16" s="19">
        <f>SUM(N11:N15)</f>
        <v>159555</v>
      </c>
      <c r="O16" s="19"/>
      <c r="P16" s="19">
        <f>SUM(P11:P15)</f>
        <v>46420</v>
      </c>
      <c r="Q16" s="239"/>
      <c r="R16" s="123">
        <f>SUM(R11:R15)</f>
        <v>205975</v>
      </c>
      <c r="U16" s="39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2"/>
      <c r="AI16" s="59"/>
      <c r="AJ16" s="59"/>
      <c r="AK16" s="59"/>
      <c r="AL16" s="96"/>
      <c r="AM16" s="94"/>
      <c r="AN16" s="94"/>
      <c r="AO16" s="90"/>
      <c r="AP16" s="98">
        <f t="shared" si="0"/>
        <v>0</v>
      </c>
      <c r="AQ16" s="90"/>
      <c r="AR16" s="98">
        <f t="shared" si="1"/>
        <v>0</v>
      </c>
      <c r="AS16" s="98">
        <f t="shared" si="2"/>
        <v>0</v>
      </c>
      <c r="AT16" s="59"/>
      <c r="AU16" s="59"/>
      <c r="AV16" s="59"/>
      <c r="AW16" s="59"/>
      <c r="AX16" s="59"/>
      <c r="AY16" s="59"/>
      <c r="AZ16" s="59"/>
    </row>
    <row r="17" spans="2:52" x14ac:dyDescent="0.25">
      <c r="F17" s="122"/>
      <c r="G17" s="19"/>
      <c r="H17" s="19"/>
      <c r="I17" s="19"/>
      <c r="J17" s="123"/>
      <c r="K17" s="19"/>
      <c r="L17" s="122"/>
      <c r="M17" s="19"/>
      <c r="N17" s="19"/>
      <c r="O17" s="19"/>
      <c r="P17" s="19"/>
      <c r="Q17" s="239"/>
      <c r="R17" s="123"/>
      <c r="U17" s="39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2"/>
      <c r="AI17" s="59"/>
      <c r="AJ17" s="59"/>
      <c r="AK17" s="59"/>
      <c r="AL17" s="96"/>
      <c r="AM17" s="94"/>
      <c r="AN17" s="94"/>
      <c r="AO17" s="90"/>
      <c r="AP17" s="98">
        <f t="shared" si="0"/>
        <v>0</v>
      </c>
      <c r="AQ17" s="90"/>
      <c r="AR17" s="98">
        <f t="shared" si="1"/>
        <v>0</v>
      </c>
      <c r="AS17" s="98">
        <f t="shared" si="2"/>
        <v>0</v>
      </c>
      <c r="AT17" s="59"/>
      <c r="AU17" s="59"/>
      <c r="AV17" s="59"/>
      <c r="AW17" s="59"/>
      <c r="AX17" s="59"/>
      <c r="AY17" s="59"/>
      <c r="AZ17" s="59"/>
    </row>
    <row r="18" spans="2:52" x14ac:dyDescent="0.25">
      <c r="B18" s="7" t="s">
        <v>38</v>
      </c>
      <c r="F18" s="131">
        <f>F9+F16</f>
        <v>221734</v>
      </c>
      <c r="G18" s="19"/>
      <c r="H18" s="132">
        <f>H9+H16</f>
        <v>287327</v>
      </c>
      <c r="I18" s="19"/>
      <c r="J18" s="133">
        <f>J9+J16</f>
        <v>287327</v>
      </c>
      <c r="K18" s="19"/>
      <c r="L18" s="131">
        <f>L9+L16</f>
        <v>189390</v>
      </c>
      <c r="M18" s="19"/>
      <c r="N18" s="132">
        <f>N9+N16</f>
        <v>298236</v>
      </c>
      <c r="O18" s="19"/>
      <c r="P18" s="132">
        <f>P9+P16</f>
        <v>150736</v>
      </c>
      <c r="Q18" s="239"/>
      <c r="R18" s="133">
        <f>R9+R16</f>
        <v>340126</v>
      </c>
      <c r="U18" s="399"/>
      <c r="AI18" s="59"/>
      <c r="AJ18" s="59"/>
      <c r="AK18" s="59"/>
      <c r="AL18" s="96"/>
      <c r="AM18" s="94"/>
      <c r="AN18" s="94"/>
      <c r="AO18" s="90"/>
      <c r="AP18" s="98">
        <f t="shared" si="0"/>
        <v>0</v>
      </c>
      <c r="AQ18" s="90"/>
      <c r="AR18" s="98">
        <f t="shared" si="1"/>
        <v>0</v>
      </c>
      <c r="AS18" s="98">
        <f t="shared" si="2"/>
        <v>0</v>
      </c>
      <c r="AT18" s="59"/>
      <c r="AU18" s="59"/>
      <c r="AV18" s="59"/>
      <c r="AW18" s="59"/>
      <c r="AX18" s="59"/>
      <c r="AY18" s="59"/>
      <c r="AZ18" s="59"/>
    </row>
    <row r="19" spans="2:52" x14ac:dyDescent="0.25">
      <c r="F19" s="122"/>
      <c r="G19" s="19"/>
      <c r="H19" s="126"/>
      <c r="I19" s="19"/>
      <c r="J19" s="127"/>
      <c r="K19" s="19"/>
      <c r="L19" s="122"/>
      <c r="M19" s="19"/>
      <c r="N19" s="126"/>
      <c r="O19" s="19"/>
      <c r="P19" s="126"/>
      <c r="Q19" s="239"/>
      <c r="R19" s="127"/>
      <c r="U19" s="399"/>
      <c r="AI19" s="59"/>
      <c r="AJ19" s="59"/>
      <c r="AK19" s="59"/>
      <c r="AL19" s="96"/>
      <c r="AM19" s="94"/>
      <c r="AN19" s="94"/>
      <c r="AO19" s="90"/>
      <c r="AP19" s="98">
        <f t="shared" si="0"/>
        <v>0</v>
      </c>
      <c r="AQ19" s="90"/>
      <c r="AR19" s="98">
        <f t="shared" si="1"/>
        <v>0</v>
      </c>
      <c r="AS19" s="98">
        <f t="shared" si="2"/>
        <v>0</v>
      </c>
      <c r="AT19" s="59"/>
      <c r="AU19" s="59"/>
      <c r="AV19" s="59"/>
      <c r="AW19" s="59"/>
      <c r="AX19" s="59"/>
      <c r="AY19" s="59"/>
      <c r="AZ19" s="59"/>
    </row>
    <row r="20" spans="2:52" x14ac:dyDescent="0.25">
      <c r="B20" s="7" t="s">
        <v>39</v>
      </c>
      <c r="F20" s="122"/>
      <c r="G20" s="19"/>
      <c r="H20" s="19"/>
      <c r="I20" s="19"/>
      <c r="J20" s="123"/>
      <c r="K20" s="19"/>
      <c r="L20" s="122"/>
      <c r="M20" s="19"/>
      <c r="N20" s="19"/>
      <c r="O20" s="19"/>
      <c r="P20" s="19"/>
      <c r="Q20" s="239"/>
      <c r="R20" s="123"/>
      <c r="U20" s="399"/>
      <c r="AI20" s="59"/>
      <c r="AJ20" s="59"/>
      <c r="AK20" s="59"/>
      <c r="AL20" s="96"/>
      <c r="AM20" s="94"/>
      <c r="AN20" s="94"/>
      <c r="AO20" s="90"/>
      <c r="AP20" s="98">
        <f t="shared" si="0"/>
        <v>0</v>
      </c>
      <c r="AQ20" s="90"/>
      <c r="AR20" s="98">
        <f t="shared" si="1"/>
        <v>0</v>
      </c>
      <c r="AS20" s="98">
        <f t="shared" si="2"/>
        <v>0</v>
      </c>
      <c r="AT20" s="59"/>
      <c r="AU20" s="59"/>
      <c r="AV20" s="59"/>
      <c r="AW20" s="59"/>
      <c r="AX20" s="59"/>
      <c r="AY20" s="59"/>
      <c r="AZ20" s="59"/>
    </row>
    <row r="21" spans="2:52" x14ac:dyDescent="0.25">
      <c r="B21" s="87" t="s">
        <v>204</v>
      </c>
      <c r="C21" t="s">
        <v>60</v>
      </c>
      <c r="F21" s="122">
        <v>8165</v>
      </c>
      <c r="G21" s="19"/>
      <c r="H21" s="19">
        <v>9015</v>
      </c>
      <c r="I21" s="19"/>
      <c r="J21" s="123">
        <v>9015</v>
      </c>
      <c r="K21" s="19"/>
      <c r="L21" s="122">
        <v>10740</v>
      </c>
      <c r="M21" s="19"/>
      <c r="N21" s="19">
        <v>10740</v>
      </c>
      <c r="O21" s="19"/>
      <c r="P21" s="19">
        <f t="shared" ref="P21:P29" si="4">R21-L21</f>
        <v>1745</v>
      </c>
      <c r="Q21" s="239"/>
      <c r="R21" s="123">
        <v>12485</v>
      </c>
      <c r="U21" s="399"/>
      <c r="AI21" s="59"/>
      <c r="AJ21" s="59"/>
      <c r="AK21" s="59"/>
      <c r="AL21" s="96"/>
      <c r="AM21" s="94"/>
      <c r="AN21" s="94"/>
      <c r="AO21" s="90"/>
      <c r="AP21" s="98">
        <f t="shared" si="0"/>
        <v>0</v>
      </c>
      <c r="AQ21" s="90"/>
      <c r="AR21" s="98"/>
      <c r="AS21" s="98"/>
      <c r="AT21" s="59"/>
      <c r="AU21" s="59"/>
      <c r="AV21" s="59"/>
      <c r="AW21" s="59"/>
      <c r="AX21" s="59"/>
      <c r="AY21" s="59"/>
      <c r="AZ21" s="59"/>
    </row>
    <row r="22" spans="2:52" x14ac:dyDescent="0.25">
      <c r="B22" s="87" t="s">
        <v>196</v>
      </c>
      <c r="C22" t="s">
        <v>61</v>
      </c>
      <c r="F22" s="122">
        <v>1828</v>
      </c>
      <c r="G22" s="19"/>
      <c r="H22" s="19">
        <v>2080</v>
      </c>
      <c r="I22" s="19"/>
      <c r="J22" s="123">
        <v>2080</v>
      </c>
      <c r="K22" s="19"/>
      <c r="L22" s="122">
        <v>0</v>
      </c>
      <c r="M22" s="19"/>
      <c r="N22" s="19">
        <v>0</v>
      </c>
      <c r="O22" s="19"/>
      <c r="P22" s="19">
        <f t="shared" si="4"/>
        <v>0</v>
      </c>
      <c r="Q22" s="239"/>
      <c r="R22" s="123">
        <v>0</v>
      </c>
      <c r="U22" s="399"/>
      <c r="AI22" s="59"/>
      <c r="AJ22" s="59"/>
      <c r="AK22" s="59"/>
      <c r="AL22" s="96"/>
      <c r="AM22" s="94"/>
      <c r="AN22" s="94"/>
      <c r="AO22" s="90"/>
      <c r="AP22" s="98">
        <f t="shared" si="0"/>
        <v>0</v>
      </c>
      <c r="AQ22" s="90"/>
      <c r="AR22" s="98"/>
      <c r="AS22" s="98"/>
      <c r="AT22" s="59"/>
      <c r="AU22" s="59"/>
      <c r="AV22" s="59"/>
      <c r="AW22" s="59"/>
      <c r="AX22" s="59"/>
      <c r="AY22" s="59"/>
      <c r="AZ22" s="59"/>
    </row>
    <row r="23" spans="2:52" x14ac:dyDescent="0.25">
      <c r="B23" s="87" t="s">
        <v>197</v>
      </c>
      <c r="C23" t="s">
        <v>62</v>
      </c>
      <c r="F23" s="122">
        <v>75730</v>
      </c>
      <c r="G23" s="19"/>
      <c r="H23" s="19">
        <v>99751</v>
      </c>
      <c r="I23" s="19"/>
      <c r="J23" s="123">
        <v>99751</v>
      </c>
      <c r="K23" s="19"/>
      <c r="L23" s="122">
        <v>115710</v>
      </c>
      <c r="M23" s="19"/>
      <c r="N23" s="19">
        <v>115710</v>
      </c>
      <c r="O23" s="19"/>
      <c r="P23" s="19">
        <f t="shared" si="4"/>
        <v>25680</v>
      </c>
      <c r="Q23" s="239"/>
      <c r="R23" s="123">
        <v>141390</v>
      </c>
      <c r="U23" s="399"/>
      <c r="AI23" s="59"/>
      <c r="AJ23" s="59"/>
      <c r="AK23" s="59"/>
      <c r="AL23" s="96"/>
      <c r="AM23" s="94"/>
      <c r="AN23" s="94"/>
      <c r="AO23" s="90"/>
      <c r="AP23" s="98">
        <f t="shared" si="0"/>
        <v>0</v>
      </c>
      <c r="AQ23" s="90"/>
      <c r="AR23" s="98">
        <f t="shared" si="1"/>
        <v>0</v>
      </c>
      <c r="AS23" s="98">
        <f t="shared" si="2"/>
        <v>0</v>
      </c>
      <c r="AT23" s="59"/>
      <c r="AU23" s="59"/>
      <c r="AV23" s="59"/>
      <c r="AW23" s="59"/>
      <c r="AX23" s="59"/>
      <c r="AY23" s="59"/>
      <c r="AZ23" s="59"/>
    </row>
    <row r="24" spans="2:52" x14ac:dyDescent="0.25">
      <c r="B24" s="87" t="s">
        <v>198</v>
      </c>
      <c r="C24" t="s">
        <v>63</v>
      </c>
      <c r="F24" s="122">
        <v>0</v>
      </c>
      <c r="G24" s="19"/>
      <c r="H24" s="19">
        <v>0</v>
      </c>
      <c r="I24" s="19"/>
      <c r="J24" s="123">
        <v>0</v>
      </c>
      <c r="K24" s="19"/>
      <c r="L24" s="122">
        <v>0</v>
      </c>
      <c r="M24" s="19"/>
      <c r="N24" s="19">
        <v>0</v>
      </c>
      <c r="O24" s="19"/>
      <c r="P24" s="19">
        <f t="shared" si="4"/>
        <v>0</v>
      </c>
      <c r="Q24" s="239"/>
      <c r="R24" s="123">
        <v>0</v>
      </c>
      <c r="U24" s="399"/>
      <c r="AI24" s="59"/>
      <c r="AJ24" s="59"/>
      <c r="AK24" s="59"/>
      <c r="AL24" s="96"/>
      <c r="AM24" s="94"/>
      <c r="AN24" s="94"/>
      <c r="AO24" s="90"/>
      <c r="AP24" s="98">
        <f t="shared" si="0"/>
        <v>0</v>
      </c>
      <c r="AQ24" s="90"/>
      <c r="AR24" s="98">
        <f t="shared" si="1"/>
        <v>0</v>
      </c>
      <c r="AS24" s="98">
        <f t="shared" si="2"/>
        <v>0</v>
      </c>
      <c r="AT24" s="59"/>
      <c r="AU24" s="59"/>
      <c r="AV24" s="59"/>
      <c r="AW24" s="59"/>
      <c r="AX24" s="59"/>
      <c r="AY24" s="59"/>
      <c r="AZ24" s="59"/>
    </row>
    <row r="25" spans="2:52" x14ac:dyDescent="0.25">
      <c r="B25" s="87" t="s">
        <v>199</v>
      </c>
      <c r="C25" t="s">
        <v>49</v>
      </c>
      <c r="F25" s="122">
        <v>827</v>
      </c>
      <c r="G25" s="19"/>
      <c r="H25" s="19">
        <v>14892</v>
      </c>
      <c r="I25" s="19"/>
      <c r="J25" s="123">
        <v>14892</v>
      </c>
      <c r="K25" s="19"/>
      <c r="L25" s="122">
        <v>0</v>
      </c>
      <c r="M25" s="19"/>
      <c r="N25" s="19">
        <v>0</v>
      </c>
      <c r="O25" s="19"/>
      <c r="P25" s="19">
        <f t="shared" si="4"/>
        <v>0</v>
      </c>
      <c r="Q25" s="239"/>
      <c r="R25" s="123">
        <v>0</v>
      </c>
      <c r="U25" s="399"/>
      <c r="AI25" s="59"/>
      <c r="AJ25" s="59"/>
      <c r="AK25" s="59"/>
      <c r="AL25" s="96"/>
      <c r="AM25" s="94"/>
      <c r="AN25" s="94"/>
      <c r="AO25" s="90"/>
      <c r="AP25" s="98">
        <f t="shared" si="0"/>
        <v>0</v>
      </c>
      <c r="AQ25" s="90"/>
      <c r="AR25" s="98">
        <f t="shared" si="1"/>
        <v>0</v>
      </c>
      <c r="AS25" s="98">
        <f t="shared" si="2"/>
        <v>0</v>
      </c>
      <c r="AT25" s="59"/>
      <c r="AU25" s="59"/>
      <c r="AV25" s="59"/>
      <c r="AW25" s="59"/>
      <c r="AX25" s="59"/>
      <c r="AY25" s="59"/>
      <c r="AZ25" s="59"/>
    </row>
    <row r="26" spans="2:52" x14ac:dyDescent="0.25">
      <c r="B26" s="87" t="s">
        <v>200</v>
      </c>
      <c r="C26" t="s">
        <v>64</v>
      </c>
      <c r="F26" s="122">
        <v>27845</v>
      </c>
      <c r="G26" s="19"/>
      <c r="H26" s="19">
        <v>42506</v>
      </c>
      <c r="I26" s="19"/>
      <c r="J26" s="123">
        <v>42506</v>
      </c>
      <c r="K26" s="19"/>
      <c r="L26" s="122">
        <v>22470</v>
      </c>
      <c r="M26" s="19"/>
      <c r="N26" s="19">
        <v>22470</v>
      </c>
      <c r="O26" s="19"/>
      <c r="P26" s="19">
        <f t="shared" si="4"/>
        <v>8890</v>
      </c>
      <c r="Q26" s="239"/>
      <c r="R26" s="123">
        <v>31360</v>
      </c>
      <c r="U26" s="399"/>
      <c r="AI26" s="59"/>
      <c r="AJ26" s="59"/>
      <c r="AK26" s="59"/>
      <c r="AL26" s="96"/>
      <c r="AM26" s="94"/>
      <c r="AN26" s="94"/>
      <c r="AO26" s="90"/>
      <c r="AP26" s="98">
        <f t="shared" si="0"/>
        <v>0</v>
      </c>
      <c r="AQ26" s="90"/>
      <c r="AR26" s="98">
        <f t="shared" si="1"/>
        <v>0</v>
      </c>
      <c r="AS26" s="98">
        <f t="shared" si="2"/>
        <v>0</v>
      </c>
      <c r="AT26" s="59"/>
      <c r="AU26" s="59"/>
      <c r="AV26" s="59"/>
      <c r="AW26" s="59"/>
      <c r="AX26" s="59"/>
      <c r="AY26" s="59"/>
      <c r="AZ26" s="59"/>
    </row>
    <row r="27" spans="2:52" x14ac:dyDescent="0.25">
      <c r="B27" s="87" t="s">
        <v>201</v>
      </c>
      <c r="C27" t="s">
        <v>65</v>
      </c>
      <c r="F27" s="122">
        <v>0</v>
      </c>
      <c r="G27" s="19"/>
      <c r="H27" s="19">
        <v>0</v>
      </c>
      <c r="I27" s="19"/>
      <c r="J27" s="123">
        <v>0</v>
      </c>
      <c r="K27" s="19"/>
      <c r="L27" s="122">
        <v>0</v>
      </c>
      <c r="M27" s="19"/>
      <c r="N27" s="19">
        <v>0</v>
      </c>
      <c r="O27" s="19"/>
      <c r="P27" s="19">
        <f t="shared" si="4"/>
        <v>0</v>
      </c>
      <c r="Q27" s="239"/>
      <c r="R27" s="123">
        <v>0</v>
      </c>
      <c r="U27" s="399"/>
      <c r="AI27" s="59"/>
      <c r="AJ27" s="59"/>
      <c r="AK27" s="59"/>
      <c r="AL27" s="96"/>
      <c r="AM27" s="94"/>
      <c r="AN27" s="94"/>
      <c r="AO27" s="90"/>
      <c r="AP27" s="98">
        <f t="shared" si="0"/>
        <v>0</v>
      </c>
      <c r="AQ27" s="90"/>
      <c r="AR27" s="98">
        <f t="shared" si="1"/>
        <v>0</v>
      </c>
      <c r="AS27" s="98">
        <f t="shared" si="2"/>
        <v>0</v>
      </c>
      <c r="AT27" s="59"/>
      <c r="AU27" s="59"/>
      <c r="AV27" s="59"/>
      <c r="AW27" s="59"/>
      <c r="AX27" s="59"/>
      <c r="AY27" s="59"/>
      <c r="AZ27" s="59"/>
    </row>
    <row r="28" spans="2:52" x14ac:dyDescent="0.25">
      <c r="B28" s="87" t="s">
        <v>202</v>
      </c>
      <c r="C28" t="s">
        <v>66</v>
      </c>
      <c r="F28" s="122">
        <v>18365</v>
      </c>
      <c r="G28" s="19"/>
      <c r="H28" s="19">
        <v>22981</v>
      </c>
      <c r="I28" s="19"/>
      <c r="J28" s="123">
        <f>22982-1</f>
        <v>22981</v>
      </c>
      <c r="K28" s="19"/>
      <c r="L28" s="122">
        <v>15165</v>
      </c>
      <c r="M28" s="19"/>
      <c r="N28" s="19">
        <v>0</v>
      </c>
      <c r="O28" s="19"/>
      <c r="P28" s="19">
        <f t="shared" si="4"/>
        <v>5575</v>
      </c>
      <c r="Q28" s="239"/>
      <c r="R28" s="123">
        <v>20740</v>
      </c>
      <c r="U28" s="399"/>
      <c r="AI28" s="59"/>
      <c r="AJ28" s="59"/>
      <c r="AK28" s="59"/>
      <c r="AL28" s="96"/>
      <c r="AM28" s="94"/>
      <c r="AN28" s="94"/>
      <c r="AO28" s="90"/>
      <c r="AP28" s="98">
        <f t="shared" si="0"/>
        <v>0</v>
      </c>
      <c r="AQ28" s="90"/>
      <c r="AR28" s="98">
        <f t="shared" si="1"/>
        <v>0</v>
      </c>
      <c r="AS28" s="98">
        <f t="shared" si="2"/>
        <v>0</v>
      </c>
      <c r="AT28" s="59"/>
      <c r="AU28" s="59"/>
      <c r="AV28" s="59"/>
      <c r="AW28" s="59"/>
      <c r="AX28" s="59"/>
      <c r="AY28" s="59"/>
      <c r="AZ28" s="59"/>
    </row>
    <row r="29" spans="2:52" x14ac:dyDescent="0.25">
      <c r="B29" s="87" t="s">
        <v>203</v>
      </c>
      <c r="C29" t="s">
        <v>67</v>
      </c>
      <c r="F29" s="131">
        <v>0</v>
      </c>
      <c r="G29" s="19"/>
      <c r="H29" s="132">
        <v>0</v>
      </c>
      <c r="I29" s="19"/>
      <c r="J29" s="133">
        <v>0</v>
      </c>
      <c r="K29" s="19"/>
      <c r="L29" s="131">
        <v>0</v>
      </c>
      <c r="M29" s="19"/>
      <c r="N29" s="132">
        <v>15165</v>
      </c>
      <c r="O29" s="19"/>
      <c r="P29" s="132">
        <f t="shared" si="4"/>
        <v>0</v>
      </c>
      <c r="Q29" s="239"/>
      <c r="R29" s="133">
        <v>0</v>
      </c>
      <c r="U29" s="399"/>
      <c r="AI29" s="59"/>
      <c r="AJ29" s="59"/>
      <c r="AK29" s="59"/>
      <c r="AL29" s="96"/>
      <c r="AM29" s="94"/>
      <c r="AN29" s="94"/>
      <c r="AO29" s="90"/>
      <c r="AP29" s="98">
        <f t="shared" si="0"/>
        <v>0</v>
      </c>
      <c r="AQ29" s="90"/>
      <c r="AR29" s="98">
        <f t="shared" si="1"/>
        <v>0</v>
      </c>
      <c r="AS29" s="98">
        <f t="shared" si="2"/>
        <v>0</v>
      </c>
      <c r="AT29" s="59"/>
      <c r="AU29" s="59"/>
      <c r="AV29" s="59"/>
      <c r="AW29" s="59"/>
      <c r="AX29" s="59"/>
      <c r="AY29" s="59"/>
      <c r="AZ29" s="59"/>
    </row>
    <row r="30" spans="2:52" x14ac:dyDescent="0.25">
      <c r="B30" s="7" t="s">
        <v>50</v>
      </c>
      <c r="F30" s="122">
        <f>SUM(F21:F29)</f>
        <v>132760</v>
      </c>
      <c r="G30" s="19"/>
      <c r="H30" s="19">
        <f>SUM(H21:H29)</f>
        <v>191225</v>
      </c>
      <c r="I30" s="19"/>
      <c r="J30" s="123">
        <f>SUM(J21:J29)</f>
        <v>191225</v>
      </c>
      <c r="K30" s="19"/>
      <c r="L30" s="122">
        <f>SUM(L21:L29)</f>
        <v>164085</v>
      </c>
      <c r="M30" s="19"/>
      <c r="N30" s="19">
        <f>SUM(N21:N29)</f>
        <v>164085</v>
      </c>
      <c r="O30" s="19"/>
      <c r="P30" s="19">
        <f>SUM(P21:P29)</f>
        <v>41890</v>
      </c>
      <c r="Q30" s="239"/>
      <c r="R30" s="123">
        <f>SUM(R21:R29)</f>
        <v>205975</v>
      </c>
      <c r="U30" s="399"/>
      <c r="AI30" s="59"/>
      <c r="AJ30" s="59"/>
      <c r="AK30" s="59"/>
      <c r="AL30" s="96"/>
      <c r="AM30" s="94"/>
      <c r="AN30" s="94"/>
      <c r="AO30" s="90"/>
      <c r="AP30" s="98">
        <f t="shared" si="0"/>
        <v>0</v>
      </c>
      <c r="AQ30" s="90"/>
      <c r="AR30" s="98">
        <f t="shared" si="1"/>
        <v>0</v>
      </c>
      <c r="AS30" s="98">
        <f t="shared" si="2"/>
        <v>0</v>
      </c>
      <c r="AT30" s="59"/>
      <c r="AU30" s="59"/>
      <c r="AV30" s="59"/>
      <c r="AW30" s="59"/>
      <c r="AX30" s="59"/>
      <c r="AY30" s="59"/>
      <c r="AZ30" s="59"/>
    </row>
    <row r="31" spans="2:52" x14ac:dyDescent="0.25">
      <c r="F31" s="122"/>
      <c r="G31" s="19"/>
      <c r="H31" s="19"/>
      <c r="I31" s="19"/>
      <c r="J31" s="123"/>
      <c r="K31" s="19"/>
      <c r="L31" s="122"/>
      <c r="M31" s="19"/>
      <c r="N31" s="19"/>
      <c r="O31" s="19"/>
      <c r="P31" s="19"/>
      <c r="Q31" s="239"/>
      <c r="R31" s="123"/>
      <c r="U31" s="399"/>
      <c r="AI31" s="59"/>
      <c r="AJ31" s="59"/>
      <c r="AK31" s="59"/>
      <c r="AL31" s="96"/>
      <c r="AM31" s="94"/>
      <c r="AN31" s="94"/>
      <c r="AO31" s="90"/>
      <c r="AP31" s="98">
        <f t="shared" si="0"/>
        <v>0</v>
      </c>
      <c r="AQ31" s="90"/>
      <c r="AR31" s="98">
        <f t="shared" si="1"/>
        <v>0</v>
      </c>
      <c r="AS31" s="98">
        <f t="shared" si="2"/>
        <v>0</v>
      </c>
      <c r="AT31" s="59"/>
      <c r="AU31" s="59"/>
      <c r="AV31" s="59"/>
      <c r="AW31" s="59"/>
      <c r="AX31" s="59"/>
      <c r="AY31" s="59"/>
      <c r="AZ31" s="59"/>
    </row>
    <row r="32" spans="2:52" ht="14.1" customHeight="1" thickBot="1" x14ac:dyDescent="0.3">
      <c r="D32" s="53" t="s">
        <v>193</v>
      </c>
      <c r="F32" s="134">
        <f>+F16-F30</f>
        <v>43588</v>
      </c>
      <c r="G32" s="135"/>
      <c r="H32" s="135">
        <f>+H16-H30</f>
        <v>7128</v>
      </c>
      <c r="I32" s="135"/>
      <c r="J32" s="136">
        <f>+J16-J30</f>
        <v>7128</v>
      </c>
      <c r="K32" s="135"/>
      <c r="L32" s="134">
        <f>+L16-L30</f>
        <v>-4530</v>
      </c>
      <c r="M32" s="135"/>
      <c r="N32" s="135">
        <f>+N16-N30</f>
        <v>-4530</v>
      </c>
      <c r="O32" s="135"/>
      <c r="P32" s="208">
        <f>+P16-P30</f>
        <v>4530</v>
      </c>
      <c r="Q32" s="243"/>
      <c r="R32" s="136">
        <f>+R16-R30</f>
        <v>0</v>
      </c>
      <c r="U32" s="399"/>
      <c r="AI32" s="59"/>
      <c r="AJ32" s="59"/>
      <c r="AK32" s="59"/>
      <c r="AL32" s="96"/>
      <c r="AM32" s="94"/>
      <c r="AN32" s="94"/>
      <c r="AO32" s="90"/>
      <c r="AP32" s="98">
        <f t="shared" si="0"/>
        <v>0</v>
      </c>
      <c r="AQ32" s="90"/>
      <c r="AR32" s="98">
        <f t="shared" si="1"/>
        <v>0</v>
      </c>
      <c r="AS32" s="98">
        <f t="shared" si="2"/>
        <v>0</v>
      </c>
      <c r="AT32" s="59"/>
      <c r="AU32" s="59"/>
      <c r="AV32" s="59"/>
      <c r="AW32" s="59"/>
      <c r="AX32" s="59"/>
      <c r="AY32" s="59"/>
      <c r="AZ32" s="59"/>
    </row>
    <row r="33" spans="2:52" ht="15.75" thickTop="1" x14ac:dyDescent="0.25">
      <c r="F33" s="122"/>
      <c r="G33" s="19"/>
      <c r="H33" s="19"/>
      <c r="I33" s="19"/>
      <c r="J33" s="123"/>
      <c r="K33" s="19"/>
      <c r="L33" s="122"/>
      <c r="M33" s="19"/>
      <c r="N33" s="19"/>
      <c r="O33" s="19"/>
      <c r="P33" s="19"/>
      <c r="Q33" s="239"/>
      <c r="R33" s="123"/>
      <c r="U33" s="399"/>
      <c r="AI33" s="59"/>
      <c r="AJ33" s="59"/>
      <c r="AK33" s="59"/>
      <c r="AL33" s="96"/>
      <c r="AM33" s="94"/>
      <c r="AN33" s="94"/>
      <c r="AO33" s="90"/>
      <c r="AP33" s="98">
        <f t="shared" si="0"/>
        <v>0</v>
      </c>
      <c r="AQ33" s="90"/>
      <c r="AR33" s="98">
        <f t="shared" si="1"/>
        <v>0</v>
      </c>
      <c r="AS33" s="98">
        <f t="shared" si="2"/>
        <v>0</v>
      </c>
      <c r="AT33" s="59"/>
      <c r="AU33" s="59"/>
      <c r="AV33" s="59"/>
      <c r="AW33" s="59"/>
      <c r="AX33" s="59"/>
      <c r="AY33" s="59"/>
      <c r="AZ33" s="59"/>
    </row>
    <row r="34" spans="2:52" x14ac:dyDescent="0.25">
      <c r="B34" s="7" t="s">
        <v>53</v>
      </c>
      <c r="F34" s="122"/>
      <c r="G34" s="19"/>
      <c r="H34" s="19"/>
      <c r="I34" s="19"/>
      <c r="J34" s="123"/>
      <c r="K34" s="19"/>
      <c r="L34" s="122"/>
      <c r="M34" s="19"/>
      <c r="N34" s="19"/>
      <c r="O34" s="19"/>
      <c r="P34" s="19"/>
      <c r="Q34" s="239"/>
      <c r="R34" s="123"/>
      <c r="U34" s="399"/>
      <c r="AI34" s="59"/>
      <c r="AJ34" s="59"/>
      <c r="AK34" s="59"/>
      <c r="AL34" s="96"/>
      <c r="AM34" s="94"/>
      <c r="AN34" s="94"/>
      <c r="AO34" s="90"/>
      <c r="AP34" s="98">
        <f t="shared" si="0"/>
        <v>0</v>
      </c>
      <c r="AQ34" s="90"/>
      <c r="AR34" s="98">
        <f t="shared" si="1"/>
        <v>0</v>
      </c>
      <c r="AS34" s="98">
        <f t="shared" si="2"/>
        <v>0</v>
      </c>
      <c r="AT34" s="59"/>
      <c r="AU34" s="59"/>
      <c r="AV34" s="59"/>
      <c r="AW34" s="59"/>
      <c r="AX34" s="59"/>
      <c r="AY34" s="59"/>
      <c r="AZ34" s="59"/>
    </row>
    <row r="35" spans="2:52" ht="15.75" thickBot="1" x14ac:dyDescent="0.3">
      <c r="C35" t="s">
        <v>211</v>
      </c>
      <c r="F35" s="122">
        <f>F9+F32</f>
        <v>88974</v>
      </c>
      <c r="G35" s="19"/>
      <c r="H35" s="19">
        <f>H9+H32</f>
        <v>96102</v>
      </c>
      <c r="I35" s="19"/>
      <c r="J35" s="123">
        <f>J9+J32</f>
        <v>96102</v>
      </c>
      <c r="K35" s="19"/>
      <c r="L35" s="122">
        <f>+L9+L16-L30</f>
        <v>25305</v>
      </c>
      <c r="M35" s="19"/>
      <c r="N35" s="19">
        <f>+N9+N16-N30</f>
        <v>134151</v>
      </c>
      <c r="O35" s="19"/>
      <c r="P35" s="19">
        <f t="shared" ref="P35" si="5">R35-L35</f>
        <v>108846</v>
      </c>
      <c r="Q35" s="239"/>
      <c r="R35" s="123">
        <f>+R9+R16-R30</f>
        <v>134151</v>
      </c>
      <c r="U35" s="399"/>
      <c r="X35" s="186" t="s">
        <v>301</v>
      </c>
      <c r="Y35" s="186"/>
      <c r="Z35" s="186"/>
      <c r="AA35" s="186"/>
      <c r="AI35" s="59"/>
      <c r="AJ35" s="59"/>
      <c r="AK35" s="59"/>
      <c r="AL35" s="96"/>
      <c r="AM35" s="94"/>
      <c r="AN35" s="94"/>
      <c r="AO35" s="90"/>
      <c r="AP35" s="98">
        <f t="shared" si="0"/>
        <v>0</v>
      </c>
      <c r="AQ35" s="90"/>
      <c r="AR35" s="98">
        <f t="shared" si="1"/>
        <v>0</v>
      </c>
      <c r="AS35" s="98">
        <f t="shared" si="2"/>
        <v>0</v>
      </c>
      <c r="AT35" s="59"/>
      <c r="AU35" s="59"/>
      <c r="AV35" s="59"/>
      <c r="AW35" s="59"/>
      <c r="AX35" s="59"/>
      <c r="AY35" s="59"/>
      <c r="AZ35" s="59"/>
    </row>
    <row r="36" spans="2:52" ht="15.75" thickBot="1" x14ac:dyDescent="0.3">
      <c r="F36" s="131"/>
      <c r="G36" s="19"/>
      <c r="H36" s="132"/>
      <c r="I36" s="19"/>
      <c r="J36" s="133"/>
      <c r="K36" s="19"/>
      <c r="L36" s="131"/>
      <c r="M36" s="19"/>
      <c r="N36" s="132"/>
      <c r="O36" s="19"/>
      <c r="P36" s="132"/>
      <c r="Q36" s="239"/>
      <c r="R36" s="133"/>
      <c r="U36" s="399"/>
      <c r="W36" s="112" t="s">
        <v>365</v>
      </c>
      <c r="X36" s="112" t="s">
        <v>292</v>
      </c>
      <c r="Y36" s="112" t="s">
        <v>277</v>
      </c>
      <c r="Z36" s="112" t="s">
        <v>356</v>
      </c>
      <c r="AA36" s="112" t="s">
        <v>127</v>
      </c>
      <c r="AB36" s="112" t="s">
        <v>276</v>
      </c>
      <c r="AC36" s="112" t="s">
        <v>278</v>
      </c>
      <c r="AD36" s="183" t="s">
        <v>364</v>
      </c>
      <c r="AE36" s="183"/>
      <c r="AI36" s="59"/>
      <c r="AJ36" s="59"/>
      <c r="AK36" s="59"/>
      <c r="AL36" s="96"/>
      <c r="AM36" s="94"/>
      <c r="AN36" s="94"/>
      <c r="AO36" s="90"/>
      <c r="AP36" s="98">
        <f t="shared" si="0"/>
        <v>0</v>
      </c>
      <c r="AQ36" s="90"/>
      <c r="AR36" s="98">
        <f t="shared" ref="AR36:AR38" si="6">AP36+AQ36</f>
        <v>0</v>
      </c>
      <c r="AS36" s="98">
        <f t="shared" ref="AS36:AS38" si="7">+AR36+AO36</f>
        <v>0</v>
      </c>
      <c r="AT36" s="59"/>
      <c r="AU36" s="59"/>
      <c r="AV36" s="59"/>
      <c r="AW36" s="59"/>
      <c r="AX36" s="59"/>
      <c r="AY36" s="59"/>
      <c r="AZ36" s="59"/>
    </row>
    <row r="37" spans="2:52" ht="15.75" thickBot="1" x14ac:dyDescent="0.3">
      <c r="B37" s="7" t="s">
        <v>265</v>
      </c>
      <c r="F37" s="137">
        <f>SUM(F34:F36)</f>
        <v>88974</v>
      </c>
      <c r="G37" s="138"/>
      <c r="H37" s="138">
        <f>SUM(H34:H36)</f>
        <v>96102</v>
      </c>
      <c r="I37" s="138"/>
      <c r="J37" s="140">
        <f>SUM(J35:J36)</f>
        <v>96102</v>
      </c>
      <c r="K37" s="19"/>
      <c r="L37" s="137">
        <f>SUM(L34:L36)</f>
        <v>25305</v>
      </c>
      <c r="M37" s="138"/>
      <c r="N37" s="138">
        <f>SUM(N34:N36)</f>
        <v>134151</v>
      </c>
      <c r="O37" s="138"/>
      <c r="P37" s="138">
        <f>SUM(P34:P36)</f>
        <v>108846</v>
      </c>
      <c r="Q37" s="239"/>
      <c r="R37" s="140">
        <f>SUM(R34:R36)</f>
        <v>134151</v>
      </c>
      <c r="U37" s="399"/>
      <c r="AI37" s="59"/>
      <c r="AJ37" s="59"/>
      <c r="AK37" s="59"/>
      <c r="AL37" s="96"/>
      <c r="AM37" s="94"/>
      <c r="AN37" s="94"/>
      <c r="AO37" s="90"/>
      <c r="AP37" s="98">
        <f t="shared" si="0"/>
        <v>0</v>
      </c>
      <c r="AQ37" s="90"/>
      <c r="AR37" s="98">
        <f t="shared" ref="AR37" si="8">AP37+AQ37</f>
        <v>0</v>
      </c>
      <c r="AS37" s="98">
        <f t="shared" ref="AS37" si="9">+AR37+AO37</f>
        <v>0</v>
      </c>
      <c r="AT37" s="59"/>
      <c r="AU37" s="59"/>
      <c r="AV37" s="59"/>
      <c r="AW37" s="59"/>
      <c r="AX37" s="59"/>
      <c r="AY37" s="59"/>
      <c r="AZ37" s="59"/>
    </row>
    <row r="38" spans="2:52" ht="15.75" thickBot="1" x14ac:dyDescent="0.3"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U38" s="399"/>
      <c r="AI38" s="59"/>
      <c r="AJ38" s="59"/>
      <c r="AK38" s="59"/>
      <c r="AL38" s="96"/>
      <c r="AM38" s="94"/>
      <c r="AN38" s="94"/>
      <c r="AO38" s="90"/>
      <c r="AP38" s="98">
        <f t="shared" si="0"/>
        <v>0</v>
      </c>
      <c r="AQ38" s="90"/>
      <c r="AR38" s="98">
        <f t="shared" si="6"/>
        <v>0</v>
      </c>
      <c r="AS38" s="98">
        <f t="shared" si="7"/>
        <v>0</v>
      </c>
      <c r="AT38" s="59"/>
      <c r="AU38" s="59"/>
      <c r="AV38" s="59"/>
      <c r="AW38" s="59"/>
      <c r="AX38" s="59"/>
      <c r="AY38" s="59"/>
      <c r="AZ38" s="59"/>
    </row>
    <row r="39" spans="2:52" ht="15.75" thickBot="1" x14ac:dyDescent="0.3">
      <c r="F39" s="105"/>
      <c r="G39" s="105"/>
      <c r="H39" s="105"/>
      <c r="I39" s="105"/>
      <c r="J39" s="53" t="s">
        <v>268</v>
      </c>
      <c r="K39" s="105"/>
      <c r="L39" s="143">
        <f>+L37+L30</f>
        <v>189390</v>
      </c>
      <c r="M39" s="88"/>
      <c r="N39" s="88"/>
      <c r="O39" s="88"/>
      <c r="P39" s="88"/>
      <c r="Q39" s="105"/>
      <c r="R39" s="143">
        <f>+R37+R30</f>
        <v>340126</v>
      </c>
      <c r="U39" s="399"/>
      <c r="AK39" s="59"/>
      <c r="AL39" s="96"/>
      <c r="AM39" s="94"/>
      <c r="AN39" s="94"/>
      <c r="AO39" s="90"/>
      <c r="AP39" s="98">
        <f t="shared" si="0"/>
        <v>0</v>
      </c>
      <c r="AQ39" s="90"/>
      <c r="AR39" s="98">
        <f t="shared" si="1"/>
        <v>0</v>
      </c>
      <c r="AS39" s="98">
        <f t="shared" si="2"/>
        <v>0</v>
      </c>
    </row>
    <row r="40" spans="2:52" x14ac:dyDescent="0.25">
      <c r="U40" s="399"/>
      <c r="AK40" s="59"/>
      <c r="AL40" s="96"/>
      <c r="AM40" s="94"/>
      <c r="AN40" s="94"/>
      <c r="AO40" s="90"/>
      <c r="AP40" s="98">
        <f t="shared" si="0"/>
        <v>0</v>
      </c>
      <c r="AQ40" s="90"/>
      <c r="AR40" s="98">
        <f t="shared" si="1"/>
        <v>0</v>
      </c>
      <c r="AS40" s="98">
        <f t="shared" si="2"/>
        <v>0</v>
      </c>
    </row>
    <row r="41" spans="2:52" x14ac:dyDescent="0.25">
      <c r="U41" s="399"/>
    </row>
    <row r="42" spans="2:52" x14ac:dyDescent="0.25">
      <c r="U42" s="399"/>
    </row>
    <row r="43" spans="2:52" x14ac:dyDescent="0.25">
      <c r="U43" s="399"/>
    </row>
    <row r="44" spans="2:52" x14ac:dyDescent="0.25">
      <c r="U44" s="399"/>
    </row>
    <row r="45" spans="2:52" x14ac:dyDescent="0.25">
      <c r="U45" s="399"/>
    </row>
    <row r="46" spans="2:52" x14ac:dyDescent="0.25">
      <c r="U46" s="399"/>
    </row>
  </sheetData>
  <mergeCells count="5">
    <mergeCell ref="U1:U46"/>
    <mergeCell ref="W3:AC3"/>
    <mergeCell ref="AT3:AZ3"/>
    <mergeCell ref="W4:AC4"/>
    <mergeCell ref="AT4:AZ4"/>
  </mergeCells>
  <pageMargins left="0.27" right="0.25" top="0.43" bottom="0.4" header="0.3" footer="0.17"/>
  <pageSetup scale="73" orientation="portrait" r:id="rId1"/>
  <headerFooter>
    <oddFooter>&amp;L&amp;D &amp;F&amp;C25&amp;R&amp;A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20</vt:i4>
      </vt:variant>
    </vt:vector>
  </HeadingPairs>
  <TitlesOfParts>
    <vt:vector size="39" baseType="lpstr">
      <vt:lpstr>Cover</vt:lpstr>
      <vt:lpstr>TOC</vt:lpstr>
      <vt:lpstr>GF Summary 10</vt:lpstr>
      <vt:lpstr>InsRsv 18</vt:lpstr>
      <vt:lpstr>Preschool 19</vt:lpstr>
      <vt:lpstr>Total Program Reserve Fund 07</vt:lpstr>
      <vt:lpstr>Food Svc 21</vt:lpstr>
      <vt:lpstr>DPGF 22</vt:lpstr>
      <vt:lpstr>Activity 23</vt:lpstr>
      <vt:lpstr>Mineral Lease 26</vt:lpstr>
      <vt:lpstr>Athletic Activity 29</vt:lpstr>
      <vt:lpstr>BondRedempt 31</vt:lpstr>
      <vt:lpstr>Building 41</vt:lpstr>
      <vt:lpstr>CapRes 43</vt:lpstr>
      <vt:lpstr>Land Reserve 44</vt:lpstr>
      <vt:lpstr>Trust Funds 72</vt:lpstr>
      <vt:lpstr>2026.27 UNIFORM BUDGET SUMMARY</vt:lpstr>
      <vt:lpstr>BudgetAssump</vt:lpstr>
      <vt:lpstr>BFB Usage Calc WKST</vt:lpstr>
      <vt:lpstr>'2026.27 UNIFORM BUDGET SUMMARY'!Print_Area</vt:lpstr>
      <vt:lpstr>'Activity 23'!Print_Area</vt:lpstr>
      <vt:lpstr>'Athletic Activity 29'!Print_Area</vt:lpstr>
      <vt:lpstr>'BFB Usage Calc WKST'!Print_Area</vt:lpstr>
      <vt:lpstr>'BondRedempt 31'!Print_Area</vt:lpstr>
      <vt:lpstr>BudgetAssump!Print_Area</vt:lpstr>
      <vt:lpstr>'Building 41'!Print_Area</vt:lpstr>
      <vt:lpstr>'CapRes 43'!Print_Area</vt:lpstr>
      <vt:lpstr>Cover!Print_Area</vt:lpstr>
      <vt:lpstr>'DPGF 22'!Print_Area</vt:lpstr>
      <vt:lpstr>'Food Svc 21'!Print_Area</vt:lpstr>
      <vt:lpstr>'GF Summary 10'!Print_Area</vt:lpstr>
      <vt:lpstr>'InsRsv 18'!Print_Area</vt:lpstr>
      <vt:lpstr>'Land Reserve 44'!Print_Area</vt:lpstr>
      <vt:lpstr>'Mineral Lease 26'!Print_Area</vt:lpstr>
      <vt:lpstr>'Preschool 19'!Print_Area</vt:lpstr>
      <vt:lpstr>TOC!Print_Area</vt:lpstr>
      <vt:lpstr>'Total Program Reserve Fund 07'!Print_Area</vt:lpstr>
      <vt:lpstr>'Trust Funds 72'!Print_Area</vt:lpstr>
      <vt:lpstr>'2026.27 UNIFORM BUDGET SUMMARY'!Print_Titles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GUSTAFSON</dc:creator>
  <cp:lastModifiedBy>Luke Gonzales</cp:lastModifiedBy>
  <cp:revision/>
  <cp:lastPrinted>2026-05-25T17:04:47Z</cp:lastPrinted>
  <dcterms:created xsi:type="dcterms:W3CDTF">2021-05-09T21:20:22Z</dcterms:created>
  <dcterms:modified xsi:type="dcterms:W3CDTF">2026-06-15T19:27:56Z</dcterms:modified>
</cp:coreProperties>
</file>